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F87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gabe" sheetId="2" state="visible" r:id="rId2"/>
    <sheet xmlns:r="http://schemas.openxmlformats.org/officeDocument/2006/relationships" name="Berechnung" sheetId="3" state="visible" r:id="rId3"/>
    <sheet xmlns:r="http://schemas.openxmlformats.org/officeDocument/2006/relationships" name="Angebot" sheetId="4" state="visible" r:id="rId4"/>
    <sheet xmlns:r="http://schemas.openxmlformats.org/officeDocument/2006/relationships" name="Stammdaten" sheetId="5" state="visible" r:id="rId5"/>
    <sheet xmlns:r="http://schemas.openxmlformats.org/officeDocument/2006/relationships" name="Listen" sheetId="6" state="hidden" r:id="rId6"/>
  </sheets>
  <definedNames>
    <definedName name="Katalog_Anzahl">MAX(1,SUMPRODUCT(MAX(((Stammdaten!$A$3:$A$303&lt;&gt;"")+(Stammdaten!$B$3:$B$303&lt;&gt;"")&gt;0)*(ROW(Stammdaten!$B$3:$B$303)-ROW(Stammdaten!$B$3)))))</definedName>
    <definedName name="Katalog_Kategorie">OFFSET(Stammdaten!$A$3,1,0,Katalog_Anzahl,1)</definedName>
    <definedName name="Katalog_Leistung">OFFSET(Stammdaten!$B$3,1,0,Katalog_Anzahl,1)</definedName>
    <definedName name="Katalog_Einheit">OFFSET(Stammdaten!$C$3,1,0,Katalog_Anzahl,1)</definedName>
    <definedName name="Katalog_Material">OFFSET(Stammdaten!$D$3,1,0,Katalog_Anzahl,1)</definedName>
    <definedName name="Katalog_Zeit">OFFSET(Stammdaten!$E$3,1,0,Katalog_Anzahl,1)</definedName>
    <definedName name="Katalog_Eintraege">SUMPRODUCT(--(Katalog_Leistung&lt;&gt;""))</definedName>
    <definedName name="Katalog_Probleme">SUMPRODUCT((Katalog_Leistung&lt;&gt;"")*(COUNTIF(Katalog_Leistung,Katalog_Leistung)&gt;1))+SUMPRODUCT((Katalog_Leistung&lt;&gt;"")*(Katalog_Kategorie=""))+SUMPRODUCT((Katalog_Leistung&lt;&gt;"")*(Katalog_Kategorie&lt;&gt;"")*ISNA(MATCH(Katalog_Kategorie,Kategorien,0)))+SUMPRODUCT((Katalog_Leistung&lt;&gt;"")*(Katalog_Material&lt;&gt;"")*NOT(ISNUMBER(Katalog_Material)))+SUMPRODUCT((Katalog_Leistung&lt;&gt;"")*(Katalog_Zeit&lt;&gt;"")*NOT(ISNUMBER(Katalog_Zeit)))</definedName>
    <definedName name="Kategorien">OFFSET(Listen!$U$2,0,0,MAX(1,COUNT(Listen!$T$2:$T$301)),1)</definedName>
    <definedName name="Bereiche">OFFSET(Listen!$X$2,0,0,MAX(1,COUNT(Listen!$W$2:$W$301)),1)</definedName>
    <definedName name="Sort_Kategorie">OFFSET(Listen!$AB$2,0,0,MAX(1,COUNT(Listen!$AA$2:$AA$301)),1)</definedName>
    <definedName name="Sort_Leistung">OFFSET(Listen!$AC$2,0,0,MAX(1,COUNT(Listen!$AA$2:$AA$301)),1)</definedName>
    <definedName name="USt_Saetze">Listen!$R$2:$R$4</definedName>
    <definedName name="Dokumentarten">Listen!$A$2:$A$4</definedName>
    <definedName name="Steuerfaelle">Listen!$H$2:$H$5</definedName>
    <definedName name="JaNein">Listen!$P$2:$P$3</definedName>
    <definedName name="_xlnm.Print_Titles" localSheetId="1">'Eingabe'!$42:$42</definedName>
    <definedName name="_xlnm.Print_Titles" localSheetId="2">'Berechnung'!$3:$3</definedName>
    <definedName name="_xlnm.Print_Area" localSheetId="3">OFFSET(Angebot!$A$1,0,0,Angebot!$H$1,6)</definedName>
    <definedName name="_xlnm.Print_Titles" localSheetId="3">'Angebot'!$23:$23</definedName>
    <definedName name="_xlnm.Print_Titles" localSheetId="4">'Stammdaten'!$3:$3</definedName>
    <definedName name="_xlnm.Print_Area" localSheetId="4">'Stammdaten'!$A$1:$F$303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.MM.YYYY"/>
    <numFmt numFmtId="166" formatCode="#,##0.00&quot; €&quot;"/>
    <numFmt numFmtId="167" formatCode="#,##0.00&quot; h&quot;"/>
    <numFmt numFmtId="168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sz val="10"/>
    </font>
    <font>
      <name val="Calibri"/>
      <b val="1"/>
      <color rgb="001F3864"/>
      <sz val="16"/>
    </font>
    <font>
      <name val="Calibri"/>
      <i val="1"/>
      <color rgb="00808080"/>
      <sz val="8"/>
    </font>
    <font>
      <name val="Calibri"/>
      <sz val="10"/>
    </font>
    <font>
      <name val="Calibri"/>
      <b val="1"/>
      <color rgb="00FFFFFF"/>
      <sz val="10"/>
    </font>
    <font>
      <name val="Calibri"/>
      <b val="1"/>
      <color rgb="001F3864"/>
      <sz val="12"/>
    </font>
    <font>
      <name val="Calibri"/>
      <b val="1"/>
      <color rgb="009C0006"/>
      <sz val="10"/>
    </font>
    <font>
      <name val="Calibri"/>
      <color rgb="00595959"/>
      <sz val="9"/>
    </font>
    <font>
      <name val="Calibri"/>
      <sz val="9"/>
    </font>
    <font>
      <name val="Calibri"/>
      <b val="1"/>
      <sz val="9"/>
    </font>
  </fonts>
  <fills count="6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1F386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  <border>
      <bottom style="medium">
        <color rgb="001F3864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/>
    </xf>
    <xf numFmtId="0" fontId="4" fillId="2" borderId="1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2" borderId="1" applyProtection="1" pivotButton="0" quotePrefix="0" xfId="0">
      <protection locked="0" hidden="0"/>
    </xf>
    <xf numFmtId="0" fontId="4" fillId="4" borderId="1" pivotButton="0" quotePrefix="0" xfId="0"/>
    <xf numFmtId="0" fontId="0" fillId="0" borderId="6" pivotButton="0" quotePrefix="0" xfId="0"/>
    <xf numFmtId="0" fontId="0" fillId="0" borderId="5" pivotButton="0" quotePrefix="0" xfId="0"/>
    <xf numFmtId="166" fontId="4" fillId="2" borderId="1" applyProtection="1" pivotButton="0" quotePrefix="0" xfId="0">
      <protection locked="0" hidden="0"/>
    </xf>
    <xf numFmtId="164" fontId="4" fillId="2" borderId="1" applyProtection="1" pivotButton="0" quotePrefix="0" xfId="0">
      <protection locked="0" hidden="0"/>
    </xf>
    <xf numFmtId="3" fontId="4" fillId="2" borderId="1" applyProtection="1" pivotButton="0" quotePrefix="0" xfId="0">
      <protection locked="0" hidden="0"/>
    </xf>
    <xf numFmtId="168" fontId="4" fillId="2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4" fontId="4" fillId="2" borderId="1" applyProtection="1" pivotButton="0" quotePrefix="0" xfId="0">
      <protection locked="0" hidden="0"/>
    </xf>
    <xf numFmtId="0" fontId="4" fillId="2" borderId="1" applyAlignment="1" applyProtection="1" pivotButton="0" quotePrefix="0" xfId="0">
      <alignment horizontal="center"/>
      <protection locked="0" hidden="0"/>
    </xf>
    <xf numFmtId="167" fontId="4" fillId="2" borderId="1" applyProtection="1" pivotButton="0" quotePrefix="0" xfId="0">
      <protection locked="0" hidden="0"/>
    </xf>
    <xf numFmtId="0" fontId="7" fillId="4" borderId="1" applyAlignment="1" pivotButton="0" quotePrefix="0" xfId="0">
      <alignment horizontal="center" vertical="center"/>
    </xf>
    <xf numFmtId="4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/>
    </xf>
    <xf numFmtId="0" fontId="4" fillId="0" borderId="0" pivotButton="0" quotePrefix="0" xfId="0"/>
    <xf numFmtId="166" fontId="4" fillId="4" borderId="1" applyAlignment="1" pivotButton="0" quotePrefix="0" xfId="0">
      <alignment horizontal="right"/>
    </xf>
    <xf numFmtId="0" fontId="0" fillId="4" borderId="1" pivotButton="0" quotePrefix="0" xfId="0"/>
    <xf numFmtId="164" fontId="4" fillId="4" borderId="1" pivotButton="0" quotePrefix="0" xfId="0"/>
    <xf numFmtId="0" fontId="1" fillId="0" borderId="0" pivotButton="0" quotePrefix="0" xfId="0"/>
    <xf numFmtId="166" fontId="1" fillId="5" borderId="1" applyAlignment="1" pivotButton="0" quotePrefix="0" xfId="0">
      <alignment horizontal="right"/>
    </xf>
    <xf numFmtId="0" fontId="0" fillId="5" borderId="1" pivotButton="0" quotePrefix="0" xfId="0"/>
    <xf numFmtId="167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3" fontId="1" fillId="5" borderId="1" applyAlignment="1" pivotButton="0" quotePrefix="0" xfId="0">
      <alignment horizontal="right"/>
    </xf>
    <xf numFmtId="0" fontId="0" fillId="0" borderId="0" applyProtection="1" pivotButton="0" quotePrefix="0" xfId="0">
      <protection locked="0" hidden="0"/>
    </xf>
    <xf numFmtId="0" fontId="9" fillId="0" borderId="0" pivotButton="0" quotePrefix="0" xfId="0"/>
    <xf numFmtId="0" fontId="8" fillId="0" borderId="0" pivotButton="0" quotePrefix="0" xfId="0"/>
    <xf numFmtId="0" fontId="0" fillId="0" borderId="7" pivotButton="0" quotePrefix="0" xfId="0"/>
    <xf numFmtId="0" fontId="3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shrinkToFit="1"/>
    </xf>
    <xf numFmtId="4" fontId="9" fillId="0" borderId="0" applyAlignment="1" pivotButton="0" quotePrefix="0" xfId="0">
      <alignment horizontal="right" vertical="center"/>
    </xf>
    <xf numFmtId="166" fontId="9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wrapText="1"/>
    </xf>
    <xf numFmtId="164" fontId="0" fillId="0" borderId="0" pivotButton="0" quotePrefix="0" xfId="0"/>
  </cellXfs>
  <cellStyles count="1">
    <cellStyle name="Normal" xfId="0" builtinId="0" hidden="0"/>
  </cellStyles>
  <dxfs count="11">
    <dxf>
      <font>
        <name val="Calibri"/>
        <b val="1"/>
        <color rgb="009C0006"/>
        <sz val="10"/>
      </font>
      <fill>
        <patternFill>
          <bgColor rgb="00FFC7CE"/>
        </patternFill>
      </fill>
    </dxf>
    <dxf>
      <font>
        <name val="Calibri"/>
        <color rgb="009C5700"/>
        <sz val="10"/>
      </font>
      <fill>
        <patternFill>
          <bgColor rgb="00FFEB9C"/>
        </patternFill>
      </fill>
    </dxf>
    <dxf>
      <fill>
        <patternFill>
          <bgColor rgb="00E2EFDA"/>
        </patternFill>
      </fill>
    </dxf>
    <dxf>
      <font>
        <name val="Calibri"/>
        <b val="1"/>
        <color rgb="00FFFFFF"/>
        <sz val="9"/>
      </font>
      <fill>
        <patternFill>
          <bgColor rgb="00C00000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border>
        <top style="thin">
          <color rgb="00595959"/>
        </top>
      </border>
    </dxf>
    <dxf>
      <font>
        <name val="Calibri"/>
        <b val="1"/>
        <color rgb="001F3864"/>
        <sz val="11"/>
      </font>
    </dxf>
    <dxf>
      <font>
        <name val="Calibri"/>
        <color rgb="00595959"/>
        <sz val="8"/>
      </font>
    </dxf>
    <dxf>
      <font>
        <name val="Calibri"/>
        <i val="1"/>
        <color rgb="00808080"/>
        <sz val="8"/>
      </font>
    </dxf>
    <dxf>
      <fill>
        <patternFill>
          <bgColor rgb="00FCE4D6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bottom style="thin">
          <color rgb="0059595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2:A80"/>
  <sheetViews>
    <sheetView showGridLines="0" workbookViewId="0">
      <selection activeCell="A1" sqref="A1"/>
    </sheetView>
  </sheetViews>
  <sheetFormatPr baseColWidth="8" defaultRowHeight="15"/>
  <cols>
    <col width="125" customWidth="1" min="1" max="1"/>
  </cols>
  <sheetData>
    <row r="2">
      <c r="A2" s="1" t="inlineStr">
        <is>
          <t>Kalkulationstool Angebot Dachdecker- und Zimmererarbeiten — kostenlose Testversion</t>
        </is>
      </c>
    </row>
    <row r="3">
      <c r="A3" s="2" t="inlineStr">
        <is>
          <t>Version 1.5  |  Gewerk: Dachdecker und Zimmerer  |  keine Makros, keine externen Verknüpfungen</t>
        </is>
      </c>
    </row>
    <row r="4">
      <c r="A4" s="3" t="inlineStr"/>
    </row>
    <row r="5">
      <c r="A5" s="4" t="inlineStr">
        <is>
          <t>Das ist die kostenlose Testversion</t>
        </is>
      </c>
    </row>
    <row r="6">
      <c r="A6" s="3" t="inlineStr">
        <is>
          <t>Sie können 10 Positionen kalkulieren. Die Vollversion hat 50 Positionszeilen.</t>
        </is>
      </c>
    </row>
    <row r="7">
      <c r="A7" s="3" t="inlineStr">
        <is>
          <t>Der Leistungskatalog enthält 18 von 31 Leistungen. Die Vollversion bringt den kompletten Katalog mit.</t>
        </is>
      </c>
    </row>
    <row r="8">
      <c r="A8" s="3" t="inlineStr">
        <is>
          <t>Das Blatt Angebot trägt einen Testversionshinweis und ist nicht für den Versand an Kunden gedacht.</t>
        </is>
      </c>
    </row>
    <row r="9">
      <c r="A9" s="3" t="inlineStr">
        <is>
          <t>Alles andere funktioniert vollständig: Dropdowns, Prüfspalte, Summenblock, Druckbereich, Blattschutz.</t>
        </is>
      </c>
    </row>
    <row r="10">
      <c r="A10" s="3" t="inlineStr">
        <is>
          <t>Vollversion: www.meisterblatt.de</t>
        </is>
      </c>
    </row>
    <row r="11">
      <c r="A11" s="3" t="inlineStr"/>
    </row>
    <row r="12">
      <c r="A12" s="4" t="inlineStr">
        <is>
          <t>So arbeiten Sie mit der Datei</t>
        </is>
      </c>
    </row>
    <row r="13">
      <c r="A13" s="3" t="inlineStr">
        <is>
          <t>1.  Blatt Eingabe, Abschnitt 1: Firmendaten einmalig ausfüllen. Sie erscheinen im Briefkopf, die IBAN als Bankverbindung unter den Zahlungsbedingungen.</t>
        </is>
      </c>
    </row>
    <row r="14">
      <c r="A14" s="3" t="inlineStr">
        <is>
          <t>2.  Abschnitt 2: Nummer, Datum, Kunde und Bauvorhaben eintragen.</t>
        </is>
      </c>
    </row>
    <row r="15">
      <c r="A15" s="3" t="inlineStr">
        <is>
          <t>3.  Abschnitt 3: Dokumentart (Angebot, Kostenvoranschlag, Auftragsbestätigung), Umsatzsteuer-Behandlung und die Angabe der Arbeitskosten nach § 35a EStG wählen.</t>
        </is>
      </c>
    </row>
    <row r="16">
      <c r="A16" s="3" t="inlineStr">
        <is>
          <t>4.  Abschnitt 4: Stundenverrechnungssatz Dachdecker, Materialzuschlag, Wagnis und Gewinn, Nachlass, Umsatzsteuer, Skonto, Zahlungsziel und Preisanpassung prüfen.</t>
        </is>
      </c>
    </row>
    <row r="17">
      <c r="A17" s="3" t="inlineStr">
        <is>
          <t>5.  Abschnitt 5: je Zeile Dachfläche / Bauteil, Kategorie und Leistung über die Dropdowns wählen und die Menge eintragen.</t>
        </is>
      </c>
    </row>
    <row r="18">
      <c r="A18" s="3" t="inlineStr">
        <is>
          <t>6.  Einheit, Material- und Zeitwert kommen aus dem Blatt Stammdaten. Nur bei Bedarf in Spalte G, H oder I überschreiben.</t>
        </is>
      </c>
    </row>
    <row r="19">
      <c r="A19" s="3" t="inlineStr">
        <is>
          <t>7.  Blatt Berechnung kontrollieren: Zeile 'Offene Probleme gesamt' muss 0 sein.</t>
        </is>
      </c>
    </row>
    <row r="20">
      <c r="A20" s="3" t="inlineStr">
        <is>
          <t>8.  Blatt Angebot drucken oder als PDF speichern (Datei, Exportieren, PDF/XPS). Eingerichtet auf A4 hoch.</t>
        </is>
      </c>
    </row>
    <row r="21">
      <c r="A21" s="3" t="inlineStr"/>
    </row>
    <row r="22">
      <c r="A22" s="4" t="inlineStr">
        <is>
          <t>Dokumentart und Umsatzsteuer</t>
        </is>
      </c>
    </row>
    <row r="23">
      <c r="A23" s="3" t="inlineStr">
        <is>
          <t>Die Dokumentart ändert Überschrift, Einleitung und Bezeichnungen im Angebotsblatt. Bei der Auftragsbestätigung entfällt die Zeile 'Gültig bis'.</t>
        </is>
      </c>
    </row>
    <row r="24">
      <c r="A24" s="3" t="inlineStr">
        <is>
          <t>Zur Auswahl stehen: Regelbesteuerung; § 13b UStG – Steuerschuldnerschaft Leistungsempfänger; § 19 UStG – Kleinunternehmer; § 12 Abs. 3 UStG – Nullsteuersatz Photovoltaik.</t>
        </is>
      </c>
    </row>
    <row r="25">
      <c r="A25" s="3" t="inlineStr">
        <is>
          <t>Regelbesteuerung: Umsatzsteuer mit dem Satz aus Abschnitt 4. § 13b UStG: Sie arbeiten als Nachunternehmer für einen Bauleistenden - die Steuer schuldet Ihr Auftraggeber, das Angebot weist keine Umsatzsteuer aus und nennt den Grund. § 19 UStG: Sie sind Kleinunternehmer - ohne Umsatzsteuer, mit Hinweis.</t>
        </is>
      </c>
    </row>
    <row r="26">
      <c r="A26" s="3" t="inlineStr">
        <is>
          <t>Arbeitskosten nach § 35a EStG: Privatkunden können 20 Prozent der Arbeitskosten von der Steuer abziehen. Mit 'Ja' zeigt das Angebot die enthaltenen Arbeitskosten. Nicht für Neubauten und nicht für gewerbliche Auftraggeber.</t>
        </is>
      </c>
    </row>
    <row r="27">
      <c r="A27" s="3" t="inlineStr">
        <is>
          <t>Die Arbeitskosten werden anteilig ermittelt: Lohnkosten geteilt durch Herstellkosten, angewendet auf die Angebotssumme netto nach Nachlass, zuzüglich Umsatzsteuer.</t>
        </is>
      </c>
    </row>
    <row r="28">
      <c r="A28" s="3" t="inlineStr"/>
    </row>
    <row r="29">
      <c r="A29" s="4" t="inlineStr">
        <is>
          <t>Freie Positionen ohne Katalogeintrag</t>
        </is>
      </c>
    </row>
    <row r="30">
      <c r="A30" s="3" t="inlineStr">
        <is>
          <t>Leistungen, die nicht im Katalog stehen, können direkt in Spalte D eingetragen werden. Excel fragt nach - mit Ja bestätigen.</t>
        </is>
      </c>
    </row>
    <row r="31">
      <c r="A31" s="3" t="inlineStr">
        <is>
          <t>Für eine freie Position müssen Einheit (Spalte G), Material €/Einheit (H) und Zeit Std/Einheit (I) eingetragen sein. Fehlt etwas, wird die Zeile rot und das Angebot gesperrt.</t>
        </is>
      </c>
    </row>
    <row r="32">
      <c r="A32" s="3" t="inlineStr">
        <is>
          <t>Die Kategorie ist bei freien Positionen freiwillig. Ohne Kategorie erscheint die Position nicht in der Auswertung nach Kategorie.</t>
        </is>
      </c>
    </row>
    <row r="33">
      <c r="A33" s="3" t="inlineStr"/>
    </row>
    <row r="34">
      <c r="A34" s="4" t="inlineStr">
        <is>
          <t>Preise aktuell halten</t>
        </is>
      </c>
    </row>
    <row r="35">
      <c r="A35" s="3" t="inlineStr">
        <is>
          <t>Im Blatt Stammdaten steht oben der Preisstand des Katalogs. Nach einer Preisaktualisierung dort das neue Datum eintragen.</t>
        </is>
      </c>
    </row>
    <row r="36">
      <c r="A36" s="3" t="inlineStr">
        <is>
          <t>Preisanpassung in Abschnitt 4: verändert alle Materialpreise aus dem Katalog um den angegebenen Prozentsatz, z. B. +6 %. Eigene Preise in Spalte H bleiben unverändert.</t>
        </is>
      </c>
    </row>
    <row r="37">
      <c r="A37" s="3" t="inlineStr"/>
    </row>
    <row r="38">
      <c r="A38" s="4" t="inlineStr">
        <is>
          <t>Summenblock und Druckbereich</t>
        </is>
      </c>
    </row>
    <row r="39">
      <c r="A39" s="3" t="inlineStr">
        <is>
          <t>Der Summenblock und der Angebotsfuß rücken automatisch direkt unter die letzte belegte Position. Zeilen ohne Inhalt - etwa Nachlass 0 %, kein Skonto oder keine IBAN - erscheinen nicht.</t>
        </is>
      </c>
    </row>
    <row r="40">
      <c r="A40" s="3" t="inlineStr">
        <is>
          <t>Summen, Zahlungsbedingungen, mehrzeilige Hinweise und die Grußformel werden nicht über einen Seitenwechsel getrennt. Liegt ein Block an der Seitengrenze, rückt er geschlossen auf die nächste Seite.</t>
        </is>
      </c>
    </row>
    <row r="41">
      <c r="A41" s="3" t="inlineStr">
        <is>
          <t>Der Druckbereich wächst und schrumpft automatisch mit der Anzahl der Positionen. Sie müssen nichts ausblenden.</t>
        </is>
      </c>
    </row>
    <row r="42">
      <c r="A42" s="3" t="inlineStr">
        <is>
          <t>Wenn Sie im Dialog Seite einrichten auf OK klicken, ersetzt Excel den dynamischen Druckbereich durch einen festen. Danach über Seitenlayout, Druckbereich, Aufheben zurücksetzen.</t>
        </is>
      </c>
    </row>
    <row r="43">
      <c r="A43" s="3" t="inlineStr">
        <is>
          <t>Jede Position steht im Angebot in einer Zeile: Leistung – Bemerkung (Bereich). Der erste Eintrag der Bereichsliste, z. B. 'Gesamtes Objekt', wird nicht bei jeder Position wiederholt.</t>
        </is>
      </c>
    </row>
    <row r="44">
      <c r="A44" s="3" t="inlineStr">
        <is>
          <t>Sehr lange Texte verkleinert Excel im Angebot automatisch. Wird es knapp, färbt sich die Bemerkung im Blatt Eingabe gelb.</t>
        </is>
      </c>
    </row>
    <row r="45">
      <c r="A45" s="3" t="inlineStr"/>
    </row>
    <row r="46">
      <c r="A46" s="4" t="inlineStr">
        <is>
          <t>Stammdaten erweitern</t>
        </is>
      </c>
    </row>
    <row r="47">
      <c r="A47" s="3" t="inlineStr">
        <is>
          <t>Neue Leistung: im Blatt Stammdaten unten an den Katalog anhängen. Kategorie, Leistung, Einheit, Preis und Zeit eintragen - fertig. Die Auswahlliste im Blatt Eingabe ordnet jede Leistung automatisch ihrer Kategorie zu, die Reihenfolge im Katalog spielt keine Rolle.</t>
        </is>
      </c>
    </row>
    <row r="48">
      <c r="A48" s="3" t="inlineStr">
        <is>
          <t>Wer lieber an passender Stelle einfügt: Rechtsklick auf die Zeilennummer einer Leistung, Zeilen einfügen. Nicht über der ersten Leistung einfügen - diese Zeile übernimmt das Format der Überschrift und ist gesperrt.</t>
        </is>
      </c>
    </row>
    <row r="49">
      <c r="A49" s="3" t="inlineStr">
        <is>
          <t>Neue Kategorie: zuerst in Spalte I in eine freie Zelle schreiben, dann die Leistungen mit dieser Kategorie im Katalog anlegen.</t>
        </is>
      </c>
    </row>
    <row r="50">
      <c r="A50" s="3" t="inlineStr">
        <is>
          <t>Wichtig: Jede Leistungsbezeichnung darf nur einmal vorkommen. Leerzeilen stören nicht. Zeilen löschen ist gesperrt - nicht mehr benötigte Einträge einfach leeren. Die Spalte Prüfung, die rote Markierung und die Statuszeile oben rechts melden Probleme.</t>
        </is>
      </c>
    </row>
    <row r="51">
      <c r="A51" s="3" t="inlineStr">
        <is>
          <t>Neuer Eintrag für Dachfläche / Bauteil: im Blatt Stammdaten in Spalte H ergänzen. Alle Listen wachsen automatisch mit.</t>
        </is>
      </c>
    </row>
    <row r="52">
      <c r="A52" s="3" t="inlineStr">
        <is>
          <t>Katalog, Spalte H und Kategorien haben je 300 Zeilen Platz (bis Zeile 303). Das Blatt Berechnung wertet die ersten 40 Kategorien aus.</t>
        </is>
      </c>
    </row>
    <row r="53">
      <c r="A53" s="3" t="inlineStr"/>
    </row>
    <row r="54">
      <c r="A54" s="4" t="inlineStr">
        <is>
          <t>Firmenlogo einfügen</t>
        </is>
      </c>
    </row>
    <row r="55">
      <c r="A55" s="3" t="inlineStr">
        <is>
          <t>Im Blatt Angebot ist oben rechts Platz für ein Logo (Bereich D1 bis F6). Der Bereich ist bewusst ohne Rahmen, damit ohne Logo nichts Leeres gedruckt wird.</t>
        </is>
      </c>
    </row>
    <row r="56">
      <c r="A56" s="3" t="inlineStr">
        <is>
          <t>Register Einfügen, Bilder, Bild auswählen und in den Bereich ziehen. Der Blattschutz muss dafür nicht aufgehoben werden.</t>
        </is>
      </c>
    </row>
    <row r="57">
      <c r="A57" s="3" t="inlineStr"/>
    </row>
    <row r="58">
      <c r="A58" s="4" t="inlineStr">
        <is>
          <t>Wichtige Hinweise</t>
        </is>
      </c>
    </row>
    <row r="59">
      <c r="A59" s="3" t="inlineStr">
        <is>
          <t>Gelbe Zellen sind Eingabefelder. Alle anderen Zellen sind durch Blattschutz gesperrt, damit Formeln nicht versehentlich gelöscht werden.</t>
        </is>
      </c>
    </row>
    <row r="60">
      <c r="A60" s="3" t="inlineStr">
        <is>
          <t>Blattschutz aufheben: Register Überprüfen, Blattschutz aufheben, Passwort  handwerk</t>
        </is>
      </c>
    </row>
    <row r="61">
      <c r="A61" s="3" t="inlineStr">
        <is>
          <t>Zuerst die Kategorie wählen, dann die Leistung. Wird die Kategorie nachträglich geändert, bleibt die alte Leistung stehen und wird rot markiert.</t>
        </is>
      </c>
    </row>
    <row r="62">
      <c r="A62" s="3" t="inlineStr">
        <is>
          <t>Zeilen einfügen oder löschen zerstört die Formelzuordnung. Nutzen Sie stattdessen die vorhandenen 50 Positionszeilen.</t>
        </is>
      </c>
    </row>
    <row r="63">
      <c r="A63" s="3" t="inlineStr">
        <is>
          <t>Meldet die Prüfung einen Fehler, erscheint im Angebot ein roter Sperrhinweis und der Summenblock wird rot hinterlegt.</t>
        </is>
      </c>
    </row>
    <row r="64">
      <c r="A64" s="3" t="inlineStr"/>
    </row>
    <row r="65">
      <c r="A65" s="4" t="inlineStr">
        <is>
          <t>Rechenweg</t>
        </is>
      </c>
    </row>
    <row r="66">
      <c r="A66" s="3" t="inlineStr">
        <is>
          <t>Materialkosten      = Menge × Material €/Einheit (Katalogpreis × (1 + Preisanpassung) oder eigener Preis)</t>
        </is>
      </c>
    </row>
    <row r="67">
      <c r="A67" s="3" t="inlineStr">
        <is>
          <t>Materialzuschlag    = Materialkosten × Zuschlagssatz</t>
        </is>
      </c>
    </row>
    <row r="68">
      <c r="A68" s="3" t="inlineStr">
        <is>
          <t>Lohnkosten          = Menge × Zeit Std/Einheit × Stundenverrechnungssatz Dachdecker</t>
        </is>
      </c>
    </row>
    <row r="69">
      <c r="A69" s="3" t="inlineStr">
        <is>
          <t>Zwischensumme       = Materialkosten + Materialzuschlag + Lohnkosten</t>
        </is>
      </c>
    </row>
    <row r="70">
      <c r="A70" s="3" t="inlineStr">
        <is>
          <t>Einzelpreis         = (Zwischensumme + Wagnis und Gewinn) ÷ Menge, auf Cent gerundet</t>
        </is>
      </c>
    </row>
    <row r="71">
      <c r="A71" s="3" t="inlineStr">
        <is>
          <t>Gesamtpreis         = Menge × Einzelpreis, auf Cent gerundet - Menge × Einzelpreis ergibt im Angebot immer den Gesamtpreis</t>
        </is>
      </c>
    </row>
    <row r="72">
      <c r="A72" s="3" t="inlineStr">
        <is>
          <t>Angebotssumme netto = Summe aller Gesamtpreise abzüglich Nachlass</t>
        </is>
      </c>
    </row>
    <row r="73">
      <c r="A73" s="3" t="inlineStr">
        <is>
          <t>Die Rundung auf den Einzelpreis verschiebt die Summe um wenige Cent. Die Zusammenfassung weist diesen Ausgleich unter Wagnis und Gewinn aus.</t>
        </is>
      </c>
    </row>
    <row r="74">
      <c r="A74" s="3" t="inlineStr"/>
    </row>
    <row r="75">
      <c r="A75" s="4" t="inlineStr">
        <is>
          <t>Lizenz</t>
        </is>
      </c>
    </row>
    <row r="76">
      <c r="A76" s="3" t="inlineStr">
        <is>
          <t>Unternehmenslizenz. Nutzung im eigenen Unternehmen durch alle Mitarbeiter und an allen Betriebsstätten. Weitergabe, Verkauf und Veröffentlichung der Datei sind nicht gestattet.</t>
        </is>
      </c>
    </row>
    <row r="77">
      <c r="A77" s="3" t="inlineStr">
        <is>
          <t>Vollständige Nutzungs- und Lizenzbedingungen in der beiliegenden Datei Lizenz.pdf und unter meisterblatt.de/Lizenzbedingungen.html.</t>
        </is>
      </c>
    </row>
    <row r="78">
      <c r="A78" s="3" t="inlineStr">
        <is>
          <t>Lizenzgeber: Meisterblatt, Inhaber Fabian Brüdgam, Berliner Straße 4, 21465 Reinbek  |  Kontakt: support@meisterblatt.de</t>
        </is>
      </c>
    </row>
    <row r="79">
      <c r="A79" s="3" t="inlineStr"/>
    </row>
    <row r="80">
      <c r="A80" s="2" t="inlineStr">
        <is>
          <t>Die Datei enthält keine Makros und läuft in Excel 2016 und neuer sowie in Microsoft 365.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J92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46" customWidth="1" min="4" max="4"/>
    <col width="10" customWidth="1" min="5" max="5"/>
    <col width="9" customWidth="1" min="6" max="6"/>
    <col width="16" customWidth="1" min="7" max="7"/>
    <col width="16" customWidth="1" min="8" max="8"/>
    <col width="16" customWidth="1" min="9" max="9"/>
    <col width="34" customWidth="1" min="10" max="10"/>
  </cols>
  <sheetData>
    <row r="1">
      <c r="A1" s="5" t="inlineStr">
        <is>
          <t>Kalkulationstool Angebot Dachdecker- und Zimmererarbeiten — kostenlose Testversion</t>
        </is>
      </c>
    </row>
    <row r="2">
      <c r="A2" s="6" t="inlineStr">
        <is>
          <t>Gelbe Felder ausfüllen. Graue Felder sind Formeln und durch Blattschutz gesperrt. Die Blätter Berechnung und Angebot aktualisieren sich automatisch.</t>
        </is>
      </c>
    </row>
    <row r="3">
      <c r="A3" s="7" t="inlineStr">
        <is>
          <t>1. Firmendaten (einmalig ausfüllen)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</row>
    <row r="4">
      <c r="A4" s="9" t="inlineStr">
        <is>
          <t>Firmenname</t>
        </is>
      </c>
      <c r="D4" s="10" t="n"/>
      <c r="E4" s="11" t="n"/>
      <c r="F4" s="6" t="inlineStr">
        <is>
          <t>Firmenlogo: im Blatt Angebot oben rechts einfügen (Register Einfügen, Bilder).</t>
        </is>
      </c>
    </row>
    <row r="5">
      <c r="A5" s="9" t="inlineStr">
        <is>
          <t>Straße und Hausnummer</t>
        </is>
      </c>
      <c r="D5" s="10" t="n"/>
      <c r="E5" s="11" t="n"/>
    </row>
    <row r="6">
      <c r="A6" s="9" t="inlineStr">
        <is>
          <t>PLZ und Ort</t>
        </is>
      </c>
      <c r="D6" s="10" t="n"/>
      <c r="E6" s="11" t="n"/>
    </row>
    <row r="7">
      <c r="A7" s="9" t="inlineStr">
        <is>
          <t>Telefon</t>
        </is>
      </c>
      <c r="D7" s="10" t="n"/>
      <c r="E7" s="11" t="n"/>
    </row>
    <row r="8">
      <c r="A8" s="9" t="inlineStr">
        <is>
          <t>E-Mail</t>
        </is>
      </c>
      <c r="D8" s="10" t="n"/>
      <c r="E8" s="11" t="n"/>
    </row>
    <row r="9">
      <c r="A9" s="9" t="inlineStr">
        <is>
          <t>USt-IdNr. / Steuernummer</t>
        </is>
      </c>
      <c r="D9" s="10" t="n"/>
      <c r="E9" s="11" t="n"/>
    </row>
    <row r="10">
      <c r="A10" s="9" t="inlineStr">
        <is>
          <t>IBAN</t>
        </is>
      </c>
      <c r="D10" s="10" t="n"/>
      <c r="E10" s="11" t="n"/>
    </row>
    <row r="12">
      <c r="A12" s="7" t="inlineStr">
        <is>
          <t>2. Projekt- und Kundendaten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9" t="inlineStr">
        <is>
          <t>Dokumentnummer</t>
        </is>
      </c>
      <c r="D13" s="10" t="n"/>
      <c r="E13" s="11" t="n"/>
    </row>
    <row r="14">
      <c r="A14" s="9" t="inlineStr">
        <is>
          <t>Datum</t>
        </is>
      </c>
      <c r="D14" s="12" t="n"/>
      <c r="E14" s="11" t="n"/>
    </row>
    <row r="15">
      <c r="A15" s="9" t="inlineStr">
        <is>
          <t>Gültig bis</t>
        </is>
      </c>
      <c r="D15" s="12" t="n"/>
      <c r="E15" s="11" t="n"/>
    </row>
    <row r="16">
      <c r="A16" s="9" t="inlineStr">
        <is>
          <t>Kunde / Bauherr</t>
        </is>
      </c>
      <c r="D16" s="10" t="n"/>
      <c r="E16" s="11" t="n"/>
    </row>
    <row r="17">
      <c r="A17" s="9" t="inlineStr">
        <is>
          <t>Straße und Hausnummer</t>
        </is>
      </c>
      <c r="D17" s="10" t="n"/>
      <c r="E17" s="11" t="n"/>
    </row>
    <row r="18">
      <c r="A18" s="9" t="inlineStr">
        <is>
          <t>PLZ und Ort</t>
        </is>
      </c>
      <c r="D18" s="10" t="n"/>
      <c r="E18" s="11" t="n"/>
    </row>
    <row r="19">
      <c r="A19" s="9" t="inlineStr">
        <is>
          <t>Bauvorhaben / Objekt</t>
        </is>
      </c>
      <c r="D19" s="10" t="n"/>
      <c r="E19" s="11" t="n"/>
    </row>
    <row r="20">
      <c r="A20" s="9" t="inlineStr">
        <is>
          <t>Bearbeiter</t>
        </is>
      </c>
      <c r="D20" s="10" t="n"/>
      <c r="E20" s="11" t="n"/>
    </row>
    <row r="21">
      <c r="A21" s="9" t="inlineStr">
        <is>
          <t>Ausführungszeitraum</t>
        </is>
      </c>
      <c r="D21" s="10" t="n"/>
      <c r="E21" s="11" t="n"/>
    </row>
    <row r="22">
      <c r="A22" s="9" t="inlineStr">
        <is>
          <t>Dachform und Neigung</t>
        </is>
      </c>
      <c r="D22" s="10" t="n"/>
      <c r="E22" s="11" t="n"/>
    </row>
    <row r="23">
      <c r="A23" s="9" t="inlineStr">
        <is>
          <t>Dachfläche gesamt (m²)</t>
        </is>
      </c>
      <c r="D23" s="10" t="n"/>
      <c r="E23" s="11" t="n"/>
    </row>
    <row r="25">
      <c r="A25" s="7" t="inlineStr">
        <is>
          <t>3. Dokument und Umsatzsteuer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9" t="inlineStr">
        <is>
          <t>Dokumentart</t>
        </is>
      </c>
      <c r="D26" s="10" t="inlineStr">
        <is>
          <t>Angebot</t>
        </is>
      </c>
      <c r="E26" s="11" t="n"/>
      <c r="F26" s="13">
        <f>IF(ISNA(MATCH($D$26,Dokumentarten,0)),"! Bitte eine Dokumentart wählen","OK")</f>
        <v/>
      </c>
      <c r="G26" s="14" t="n"/>
      <c r="H26" s="15" t="n"/>
    </row>
    <row r="27">
      <c r="A27" s="9" t="inlineStr">
        <is>
          <t>Umsatzsteuer-Behandlung</t>
        </is>
      </c>
      <c r="D27" s="10" t="inlineStr">
        <is>
          <t>Regelbesteuerung</t>
        </is>
      </c>
      <c r="E27" s="11" t="n"/>
      <c r="F27" s="13">
        <f>IF(ISNA(MATCH($D$27,Steuerfaelle,0)),"! Bitte eine Umsatzsteuer-Behandlung wählen","OK")</f>
        <v/>
      </c>
      <c r="G27" s="14" t="n"/>
      <c r="H27" s="15" t="n"/>
    </row>
    <row r="28">
      <c r="A28" s="9" t="inlineStr">
        <is>
          <t>Arbeitskosten ausweisen (§ 35a EStG)</t>
        </is>
      </c>
      <c r="D28" s="10" t="inlineStr">
        <is>
          <t>Nein</t>
        </is>
      </c>
      <c r="E28" s="11" t="n"/>
      <c r="F28" s="13">
        <f>IF(ISNA(MATCH($D$28,JaNein,0)),"! Bitte Ja oder Nein wählen",IF($D$28="Nein","OK",IF(IFERROR(INDEX(Listen!$L$2:$L$5,MATCH($D$27,Steuerfaelle,0)),1)=0,"! § 35a passt nicht zur gewählten Umsatzsteuer-Behandlung","OK - nur für Privatkunden, nicht bei Neubau")))</f>
        <v/>
      </c>
      <c r="G28" s="14" t="n"/>
      <c r="H28" s="15" t="n"/>
    </row>
    <row r="30">
      <c r="A30" s="7" t="inlineStr">
        <is>
          <t>4. Kalkulationsparameter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9" t="inlineStr">
        <is>
          <t>Stundenverrechnungssatz Dachdecker</t>
        </is>
      </c>
      <c r="D31" s="16" t="n">
        <v>64</v>
      </c>
      <c r="F31" s="13">
        <f>IF(NOT(ISNUMBER($D$31)),"! Bitte eine Zahl eintragen",IF($D$31&lt;=0,"! Wert muss größer 0 sein","OK"))</f>
        <v/>
      </c>
      <c r="G31" s="14" t="n"/>
      <c r="H31" s="15" t="n"/>
    </row>
    <row r="32">
      <c r="A32" s="9" t="inlineStr">
        <is>
          <t>Materialzuschlag (Handling / Gemeinkosten)</t>
        </is>
      </c>
      <c r="D32" s="17" t="n">
        <v>0.12</v>
      </c>
      <c r="F32" s="13">
        <f>IF(NOT(ISNUMBER($D$32)),"! Bitte eine Zahl eintragen",IF(OR($D$32&lt;0,$D$32&gt;1),"! Wert muss zwischen 0 % und 100 % liegen","OK"))</f>
        <v/>
      </c>
      <c r="G32" s="14" t="n"/>
      <c r="H32" s="15" t="n"/>
    </row>
    <row r="33">
      <c r="A33" s="9" t="inlineStr">
        <is>
          <t>Wagnis und Gewinn</t>
        </is>
      </c>
      <c r="D33" s="17" t="n">
        <v>0.09</v>
      </c>
      <c r="F33" s="13">
        <f>IF(NOT(ISNUMBER($D$33)),"! Bitte eine Zahl eintragen",IF(OR($D$33&lt;0,$D$33&gt;1),"! Wert muss zwischen 0 % und 100 % liegen","OK"))</f>
        <v/>
      </c>
      <c r="G33" s="14" t="n"/>
      <c r="H33" s="15" t="n"/>
    </row>
    <row r="34">
      <c r="A34" s="9" t="inlineStr">
        <is>
          <t>Nachlass auf Angebotssumme</t>
        </is>
      </c>
      <c r="D34" s="17" t="n">
        <v>0</v>
      </c>
      <c r="F34" s="13">
        <f>IF(NOT(ISNUMBER($D$34)),"! Bitte eine Zahl eintragen",IF(OR($D$34&lt;0,$D$34&gt;1),"! Wert muss zwischen 0 % und 100 % liegen","OK"))</f>
        <v/>
      </c>
      <c r="G34" s="14" t="n"/>
      <c r="H34" s="15" t="n"/>
    </row>
    <row r="35">
      <c r="A35" s="9" t="inlineStr">
        <is>
          <t>Umsatzsteuersatz</t>
        </is>
      </c>
      <c r="D35" s="17" t="n">
        <v>0.19</v>
      </c>
      <c r="F35" s="13">
        <f>IF(NOT(ISNUMBER($D$35)),"! Bitte eine Zahl eintragen",IF(OR($D$35&lt;0,$D$35&gt;1),"! Wert muss zwischen 0 % und 100 % liegen",IF(IFERROR(INDEX(Listen!$J$2:$J$5,MATCH($D$27,Steuerfaelle,0)),1)=1,"OK","OK - gilt bei der gewählten Umsatzsteuer-Behandlung nicht")))</f>
        <v/>
      </c>
      <c r="G35" s="14" t="n"/>
      <c r="H35" s="15" t="n"/>
    </row>
    <row r="36">
      <c r="A36" s="9" t="inlineStr">
        <is>
          <t>Skonto</t>
        </is>
      </c>
      <c r="D36" s="17" t="n">
        <v>0.02</v>
      </c>
      <c r="F36" s="13">
        <f>IF(NOT(ISNUMBER($D$36)),"! Bitte eine Zahl eintragen",IF(OR($D$36&lt;0,$D$36&gt;1),"! Wert muss zwischen 0 % und 100 % liegen","OK"))</f>
        <v/>
      </c>
      <c r="G36" s="14" t="n"/>
      <c r="H36" s="15" t="n"/>
    </row>
    <row r="37">
      <c r="A37" s="9" t="inlineStr">
        <is>
          <t>Skontofrist in Tagen</t>
        </is>
      </c>
      <c r="D37" s="18" t="n">
        <v>10</v>
      </c>
      <c r="F37" s="13">
        <f>IF(NOT(ISNUMBER($D$37)),"! Bitte eine Zahl eintragen",IF(OR($D$37&lt;0,$D$37&gt;365,$D$37&lt;&gt;INT($D$37)),"! 0 bis 365 ganze Tage","OK"))</f>
        <v/>
      </c>
      <c r="G37" s="14" t="n"/>
      <c r="H37" s="15" t="n"/>
    </row>
    <row r="38">
      <c r="A38" s="9" t="inlineStr">
        <is>
          <t>Zahlungsziel in Tagen (ohne Abzug)</t>
        </is>
      </c>
      <c r="D38" s="18" t="n">
        <v>30</v>
      </c>
      <c r="F38" s="13">
        <f>IF(NOT(ISNUMBER($D$38)),"! Bitte eine Zahl eintragen",IF(OR($D$38&lt;0,$D$38&gt;365,$D$38&lt;&gt;INT($D$38)),"! 0 bis 365 ganze Tage",IF(AND(N($D$36)&gt;0,$D$38&lt;N($D$37)),"! Zahlungsziel darf nicht kürzer als die Skontofrist sein","OK")))</f>
        <v/>
      </c>
      <c r="G38" s="14" t="n"/>
      <c r="H38" s="15" t="n"/>
    </row>
    <row r="39">
      <c r="A39" s="9" t="inlineStr">
        <is>
          <t>Preisanpassung Katalog-Materialpreise</t>
        </is>
      </c>
      <c r="D39" s="19" t="n">
        <v>0</v>
      </c>
      <c r="F39" s="13">
        <f>IF(NOT(ISNUMBER($D$39)),"! Bitte eine Zahl eintragen",IF(OR($D$39&lt;-0.5,$D$39&gt;1),"! Wert muss zwischen -50 % und +100 % liegen",IF(ISNUMBER(Stammdaten!$E$1),"OK - Preisstand Katalog "&amp;TEXT(MONTH(Stammdaten!$E$1),"00")&amp;"/"&amp;YEAR(Stammdaten!$E$1),"OK")))</f>
        <v/>
      </c>
      <c r="G39" s="14" t="n"/>
      <c r="H39" s="15" t="n"/>
    </row>
    <row r="41">
      <c r="A41" s="7" t="inlineStr">
        <is>
          <t>5. Positionen (Leistungsverzeichnis)</t>
        </is>
      </c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 ht="34" customHeight="1">
      <c r="A42" s="20" t="inlineStr">
        <is>
          <t>Pos.</t>
        </is>
      </c>
      <c r="B42" s="20" t="inlineStr">
        <is>
          <t>Dachfläche / Bauteil</t>
        </is>
      </c>
      <c r="C42" s="20" t="inlineStr">
        <is>
          <t>Kategorie</t>
        </is>
      </c>
      <c r="D42" s="20" t="inlineStr">
        <is>
          <t>Leistung</t>
        </is>
      </c>
      <c r="E42" s="20" t="inlineStr">
        <is>
          <t>Menge</t>
        </is>
      </c>
      <c r="F42" s="20" t="inlineStr">
        <is>
          <t>Einheit</t>
        </is>
      </c>
      <c r="G42" s="20" t="inlineStr">
        <is>
          <t>Eigene Einheit
(leer = Katalog)</t>
        </is>
      </c>
      <c r="H42" s="20" t="inlineStr">
        <is>
          <t>Material €/Einheit
(leer = Katalog)</t>
        </is>
      </c>
      <c r="I42" s="20" t="inlineStr">
        <is>
          <t>Zeit Std/Einheit
(leer = Katalog)</t>
        </is>
      </c>
      <c r="J42" s="20" t="inlineStr">
        <is>
          <t>Bemerkung (erscheint im Angebot)</t>
        </is>
      </c>
    </row>
    <row r="43">
      <c r="A43" s="21">
        <f>IF($D43="","",COUNTA($D$43:$D43))</f>
        <v/>
      </c>
      <c r="B43" s="10" t="n"/>
      <c r="C43" s="10" t="n"/>
      <c r="D43" s="10" t="n"/>
      <c r="E43" s="22" t="n"/>
      <c r="F43" s="21">
        <f>IF($D43="","",IF($G43&lt;&gt;"",$G43,IFERROR(INDEX(Katalog_Einheit,MATCH($D43,Katalog_Leistung,0)),"?")))</f>
        <v/>
      </c>
      <c r="G43" s="23" t="n"/>
      <c r="H43" s="16" t="n"/>
      <c r="I43" s="24" t="n"/>
      <c r="J43" s="10" t="n"/>
    </row>
    <row r="44">
      <c r="A44" s="21">
        <f>IF($D44="","",COUNTA($D$43:$D44))</f>
        <v/>
      </c>
      <c r="B44" s="10" t="n"/>
      <c r="C44" s="10" t="n"/>
      <c r="D44" s="10" t="n"/>
      <c r="E44" s="22" t="n"/>
      <c r="F44" s="21">
        <f>IF($D44="","",IF($G44&lt;&gt;"",$G44,IFERROR(INDEX(Katalog_Einheit,MATCH($D44,Katalog_Leistung,0)),"?")))</f>
        <v/>
      </c>
      <c r="G44" s="23" t="n"/>
      <c r="H44" s="16" t="n"/>
      <c r="I44" s="24" t="n"/>
      <c r="J44" s="10" t="n"/>
    </row>
    <row r="45">
      <c r="A45" s="21">
        <f>IF($D45="","",COUNTA($D$43:$D45))</f>
        <v/>
      </c>
      <c r="B45" s="10" t="n"/>
      <c r="C45" s="10" t="n"/>
      <c r="D45" s="10" t="n"/>
      <c r="E45" s="22" t="n"/>
      <c r="F45" s="21">
        <f>IF($D45="","",IF($G45&lt;&gt;"",$G45,IFERROR(INDEX(Katalog_Einheit,MATCH($D45,Katalog_Leistung,0)),"?")))</f>
        <v/>
      </c>
      <c r="G45" s="23" t="n"/>
      <c r="H45" s="16" t="n"/>
      <c r="I45" s="24" t="n"/>
      <c r="J45" s="10" t="n"/>
    </row>
    <row r="46">
      <c r="A46" s="21">
        <f>IF($D46="","",COUNTA($D$43:$D46))</f>
        <v/>
      </c>
      <c r="B46" s="10" t="n"/>
      <c r="C46" s="10" t="n"/>
      <c r="D46" s="10" t="n"/>
      <c r="E46" s="22" t="n"/>
      <c r="F46" s="21">
        <f>IF($D46="","",IF($G46&lt;&gt;"",$G46,IFERROR(INDEX(Katalog_Einheit,MATCH($D46,Katalog_Leistung,0)),"?")))</f>
        <v/>
      </c>
      <c r="G46" s="23" t="n"/>
      <c r="H46" s="16" t="n"/>
      <c r="I46" s="24" t="n"/>
      <c r="J46" s="10" t="n"/>
    </row>
    <row r="47">
      <c r="A47" s="21">
        <f>IF($D47="","",COUNTA($D$43:$D47))</f>
        <v/>
      </c>
      <c r="B47" s="10" t="n"/>
      <c r="C47" s="10" t="n"/>
      <c r="D47" s="10" t="n"/>
      <c r="E47" s="22" t="n"/>
      <c r="F47" s="21">
        <f>IF($D47="","",IF($G47&lt;&gt;"",$G47,IFERROR(INDEX(Katalog_Einheit,MATCH($D47,Katalog_Leistung,0)),"?")))</f>
        <v/>
      </c>
      <c r="G47" s="23" t="n"/>
      <c r="H47" s="16" t="n"/>
      <c r="I47" s="24" t="n"/>
      <c r="J47" s="10" t="n"/>
    </row>
    <row r="48">
      <c r="A48" s="21">
        <f>IF($D48="","",COUNTA($D$43:$D48))</f>
        <v/>
      </c>
      <c r="B48" s="10" t="n"/>
      <c r="C48" s="10" t="n"/>
      <c r="D48" s="10" t="n"/>
      <c r="E48" s="22" t="n"/>
      <c r="F48" s="21">
        <f>IF($D48="","",IF($G48&lt;&gt;"",$G48,IFERROR(INDEX(Katalog_Einheit,MATCH($D48,Katalog_Leistung,0)),"?")))</f>
        <v/>
      </c>
      <c r="G48" s="23" t="n"/>
      <c r="H48" s="16" t="n"/>
      <c r="I48" s="24" t="n"/>
      <c r="J48" s="10" t="n"/>
    </row>
    <row r="49">
      <c r="A49" s="21">
        <f>IF($D49="","",COUNTA($D$43:$D49))</f>
        <v/>
      </c>
      <c r="B49" s="10" t="n"/>
      <c r="C49" s="10" t="n"/>
      <c r="D49" s="10" t="n"/>
      <c r="E49" s="22" t="n"/>
      <c r="F49" s="21">
        <f>IF($D49="","",IF($G49&lt;&gt;"",$G49,IFERROR(INDEX(Katalog_Einheit,MATCH($D49,Katalog_Leistung,0)),"?")))</f>
        <v/>
      </c>
      <c r="G49" s="23" t="n"/>
      <c r="H49" s="16" t="n"/>
      <c r="I49" s="24" t="n"/>
      <c r="J49" s="10" t="n"/>
    </row>
    <row r="50">
      <c r="A50" s="21">
        <f>IF($D50="","",COUNTA($D$43:$D50))</f>
        <v/>
      </c>
      <c r="B50" s="10" t="n"/>
      <c r="C50" s="10" t="n"/>
      <c r="D50" s="10" t="n"/>
      <c r="E50" s="22" t="n"/>
      <c r="F50" s="21">
        <f>IF($D50="","",IF($G50&lt;&gt;"",$G50,IFERROR(INDEX(Katalog_Einheit,MATCH($D50,Katalog_Leistung,0)),"?")))</f>
        <v/>
      </c>
      <c r="G50" s="23" t="n"/>
      <c r="H50" s="16" t="n"/>
      <c r="I50" s="24" t="n"/>
      <c r="J50" s="10" t="n"/>
    </row>
    <row r="51">
      <c r="A51" s="21">
        <f>IF($D51="","",COUNTA($D$43:$D51))</f>
        <v/>
      </c>
      <c r="B51" s="10" t="n"/>
      <c r="C51" s="10" t="n"/>
      <c r="D51" s="10" t="n"/>
      <c r="E51" s="22" t="n"/>
      <c r="F51" s="21">
        <f>IF($D51="","",IF($G51&lt;&gt;"",$G51,IFERROR(INDEX(Katalog_Einheit,MATCH($D51,Katalog_Leistung,0)),"?")))</f>
        <v/>
      </c>
      <c r="G51" s="23" t="n"/>
      <c r="H51" s="16" t="n"/>
      <c r="I51" s="24" t="n"/>
      <c r="J51" s="10" t="n"/>
    </row>
    <row r="52">
      <c r="A52" s="21">
        <f>IF($D52="","",COUNTA($D$43:$D52))</f>
        <v/>
      </c>
      <c r="B52" s="10" t="n"/>
      <c r="C52" s="10" t="n"/>
      <c r="D52" s="10" t="n"/>
      <c r="E52" s="22" t="n"/>
      <c r="F52" s="21">
        <f>IF($D52="","",IF($G52&lt;&gt;"",$G52,IFERROR(INDEX(Katalog_Einheit,MATCH($D52,Katalog_Leistung,0)),"?")))</f>
        <v/>
      </c>
      <c r="G52" s="23" t="n"/>
      <c r="H52" s="16" t="n"/>
      <c r="I52" s="24" t="n"/>
      <c r="J52" s="10" t="n"/>
    </row>
    <row r="53">
      <c r="A53" s="21">
        <f>IF($D53="","",COUNTA($D$43:$D53))</f>
        <v/>
      </c>
      <c r="B53" s="25" t="inlineStr">
        <is>
          <t>— ab hier nur in der Vollversion (50 Positionszeilen) —</t>
        </is>
      </c>
      <c r="C53" s="14" t="n"/>
      <c r="D53" s="15" t="n"/>
      <c r="E53" s="13" t="n"/>
      <c r="F53" s="13" t="n"/>
      <c r="G53" s="13" t="n"/>
      <c r="H53" s="13" t="n"/>
      <c r="I53" s="13" t="n"/>
      <c r="J53" s="13" t="n"/>
    </row>
    <row r="54">
      <c r="A54" s="21">
        <f>IF($D54="","",COUNTA($D$43:$D54))</f>
        <v/>
      </c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21">
        <f>IF($D55="","",COUNTA($D$43:$D55))</f>
        <v/>
      </c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21">
        <f>IF($D56="","",COUNTA($D$43:$D56))</f>
        <v/>
      </c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21">
        <f>IF($D57="","",COUNTA($D$43:$D57))</f>
        <v/>
      </c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21">
        <f>IF($D58="","",COUNTA($D$43:$D58))</f>
        <v/>
      </c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21">
        <f>IF($D59="","",COUNTA($D$43:$D59))</f>
        <v/>
      </c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21">
        <f>IF($D60="","",COUNTA($D$43:$D60))</f>
        <v/>
      </c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21">
        <f>IF($D61="","",COUNTA($D$43:$D61))</f>
        <v/>
      </c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21">
        <f>IF($D62="","",COUNTA($D$43:$D62))</f>
        <v/>
      </c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21">
        <f>IF($D63="","",COUNTA($D$43:$D63))</f>
        <v/>
      </c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21">
        <f>IF($D64="","",COUNTA($D$43:$D64))</f>
        <v/>
      </c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21">
        <f>IF($D65="","",COUNTA($D$43:$D65))</f>
        <v/>
      </c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21">
        <f>IF($D66="","",COUNTA($D$43:$D66))</f>
        <v/>
      </c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21">
        <f>IF($D67="","",COUNTA($D$43:$D67))</f>
        <v/>
      </c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A68" s="21">
        <f>IF($D68="","",COUNTA($D$43:$D68))</f>
        <v/>
      </c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A69" s="21">
        <f>IF($D69="","",COUNTA($D$43:$D69))</f>
        <v/>
      </c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A70" s="21">
        <f>IF($D70="","",COUNTA($D$43:$D70))</f>
        <v/>
      </c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A71" s="21">
        <f>IF($D71="","",COUNTA($D$43:$D71))</f>
        <v/>
      </c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A72" s="21">
        <f>IF($D72="","",COUNTA($D$43:$D72))</f>
        <v/>
      </c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A73" s="21">
        <f>IF($D73="","",COUNTA($D$43:$D73))</f>
        <v/>
      </c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A74" s="21">
        <f>IF($D74="","",COUNTA($D$43:$D74))</f>
        <v/>
      </c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A75" s="21">
        <f>IF($D75="","",COUNTA($D$43:$D75))</f>
        <v/>
      </c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A76" s="21">
        <f>IF($D76="","",COUNTA($D$43:$D76))</f>
        <v/>
      </c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A77" s="21">
        <f>IF($D77="","",COUNTA($D$43:$D77))</f>
        <v/>
      </c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A78" s="21">
        <f>IF($D78="","",COUNTA($D$43:$D78))</f>
        <v/>
      </c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A79" s="21">
        <f>IF($D79="","",COUNTA($D$43:$D79))</f>
        <v/>
      </c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A80" s="21">
        <f>IF($D80="","",COUNTA($D$43:$D80))</f>
        <v/>
      </c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A81" s="21">
        <f>IF($D81="","",COUNTA($D$43:$D81))</f>
        <v/>
      </c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A82" s="21">
        <f>IF($D82="","",COUNTA($D$43:$D82))</f>
        <v/>
      </c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A83" s="21">
        <f>IF($D83="","",COUNTA($D$43:$D83))</f>
        <v/>
      </c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A84" s="21">
        <f>IF($D84="","",COUNTA($D$43:$D84))</f>
        <v/>
      </c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A85" s="21">
        <f>IF($D85="","",COUNTA($D$43:$D85))</f>
        <v/>
      </c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A86" s="21">
        <f>IF($D86="","",COUNTA($D$43:$D86))</f>
        <v/>
      </c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A87" s="21">
        <f>IF($D87="","",COUNTA($D$43:$D87))</f>
        <v/>
      </c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A88" s="21">
        <f>IF($D88="","",COUNTA($D$43:$D88))</f>
        <v/>
      </c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A89" s="21">
        <f>IF($D89="","",COUNTA($D$43:$D89))</f>
        <v/>
      </c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A90" s="21">
        <f>IF($D90="","",COUNTA($D$43:$D90))</f>
        <v/>
      </c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</row>
    <row r="91">
      <c r="A91" s="21">
        <f>IF($D91="","",COUNTA($D$43:$D91))</f>
        <v/>
      </c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</row>
    <row r="92">
      <c r="A92" s="21">
        <f>IF($D92="","",COUNTA($D$43:$D92))</f>
        <v/>
      </c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70">
    <mergeCell ref="D20:E20"/>
    <mergeCell ref="D10:E10"/>
    <mergeCell ref="F36:H36"/>
    <mergeCell ref="F33:H33"/>
    <mergeCell ref="D19:E19"/>
    <mergeCell ref="A37:C37"/>
    <mergeCell ref="F32:H32"/>
    <mergeCell ref="F35:H35"/>
    <mergeCell ref="A18:C18"/>
    <mergeCell ref="A27:C27"/>
    <mergeCell ref="F26:H26"/>
    <mergeCell ref="A21:C21"/>
    <mergeCell ref="D22:E22"/>
    <mergeCell ref="B53:D53"/>
    <mergeCell ref="A26:C26"/>
    <mergeCell ref="D21:E21"/>
    <mergeCell ref="D6:E6"/>
    <mergeCell ref="F38:H38"/>
    <mergeCell ref="A33:C33"/>
    <mergeCell ref="F28:H28"/>
    <mergeCell ref="A5:C5"/>
    <mergeCell ref="A23:C23"/>
    <mergeCell ref="F31:H31"/>
    <mergeCell ref="D13:E13"/>
    <mergeCell ref="A8:C8"/>
    <mergeCell ref="A14:C14"/>
    <mergeCell ref="D27:E27"/>
    <mergeCell ref="A22:C22"/>
    <mergeCell ref="A17:C17"/>
    <mergeCell ref="F27:H27"/>
    <mergeCell ref="A30:J30"/>
    <mergeCell ref="A32:C32"/>
    <mergeCell ref="A35:C35"/>
    <mergeCell ref="A4:C4"/>
    <mergeCell ref="D17:E17"/>
    <mergeCell ref="A20:C20"/>
    <mergeCell ref="F37:H37"/>
    <mergeCell ref="A38:C38"/>
    <mergeCell ref="F39:H39"/>
    <mergeCell ref="A10:C10"/>
    <mergeCell ref="A28:C28"/>
    <mergeCell ref="D16:E16"/>
    <mergeCell ref="A13:C13"/>
    <mergeCell ref="A19:C19"/>
    <mergeCell ref="D7:E7"/>
    <mergeCell ref="A31:C31"/>
    <mergeCell ref="A9:C9"/>
    <mergeCell ref="D28:E28"/>
    <mergeCell ref="D4:E4"/>
    <mergeCell ref="A39:C39"/>
    <mergeCell ref="D18:E18"/>
    <mergeCell ref="A15:C15"/>
    <mergeCell ref="A34:C34"/>
    <mergeCell ref="D9:E9"/>
    <mergeCell ref="A25:J25"/>
    <mergeCell ref="A41:J41"/>
    <mergeCell ref="D8:E8"/>
    <mergeCell ref="F34:H34"/>
    <mergeCell ref="A36:C36"/>
    <mergeCell ref="D15:E15"/>
    <mergeCell ref="D5:E5"/>
    <mergeCell ref="A3:J3"/>
    <mergeCell ref="A6:C6"/>
    <mergeCell ref="D23:E23"/>
    <mergeCell ref="A12:J12"/>
    <mergeCell ref="D14:E14"/>
    <mergeCell ref="A7:C7"/>
    <mergeCell ref="D26:E26"/>
    <mergeCell ref="A16:C16"/>
    <mergeCell ref="F4:J4"/>
  </mergeCells>
  <conditionalFormatting sqref="D43:D92">
    <cfRule type="expression" priority="1" dxfId="0">
      <formula>AND($D43&lt;&gt;"",NOT(ISNUMBER(MATCH($D43,Katalog_Leistung,0))),OR($G43="",NOT(ISNUMBER($H43)),NOT(ISNUMBER($I43))))</formula>
    </cfRule>
  </conditionalFormatting>
  <conditionalFormatting sqref="G43:G92">
    <cfRule type="expression" priority="2" dxfId="0">
      <formula>AND($D43&lt;&gt;"",NOT(ISNUMBER(MATCH($D43,Katalog_Leistung,0))),$G43="")</formula>
    </cfRule>
  </conditionalFormatting>
  <conditionalFormatting sqref="H43:H92">
    <cfRule type="expression" priority="3" dxfId="0">
      <formula>AND($D43&lt;&gt;"",NOT(ISNUMBER(MATCH($D43,Katalog_Leistung,0))),NOT(ISNUMBER($H43)))</formula>
    </cfRule>
  </conditionalFormatting>
  <conditionalFormatting sqref="I43:I92">
    <cfRule type="expression" priority="4" dxfId="0">
      <formula>AND($D43&lt;&gt;"",NOT(ISNUMBER(MATCH($D43,Katalog_Leistung,0))),NOT(ISNUMBER($I43)))</formula>
    </cfRule>
  </conditionalFormatting>
  <conditionalFormatting sqref="E43:E92">
    <cfRule type="expression" priority="5" dxfId="0">
      <formula>AND($D43&lt;&gt;"",NOT(ISNUMBER($E43)))</formula>
    </cfRule>
  </conditionalFormatting>
  <conditionalFormatting sqref="C43:C92">
    <cfRule type="expression" priority="6" dxfId="0">
      <formula>AND($D43&lt;&gt;"",ISNUMBER(MATCH($D43,Katalog_Leistung,0)),INDEX(Katalog_Kategorie,MATCH($D43,Katalog_Leistung,0))&lt;&gt;$C43)</formula>
    </cfRule>
  </conditionalFormatting>
  <conditionalFormatting sqref="J43:J92">
    <cfRule type="expression" priority="7" dxfId="1">
      <formula>AND($D43&lt;&gt;"",LEN($D43)+IF($J43="",0,LEN($J43)+3)+IF(OR($B43="",$B43=INDEX(Bereiche,1)),0,LEN($B43)+3)&gt;95)</formula>
    </cfRule>
  </conditionalFormatting>
  <conditionalFormatting sqref="F26:H28">
    <cfRule type="expression" priority="8" dxfId="0">
      <formula>LEFT($F26,1)="!"</formula>
    </cfRule>
  </conditionalFormatting>
  <conditionalFormatting sqref="F31:H39">
    <cfRule type="expression" priority="9" dxfId="0">
      <formula>LEFT($F31,1)="!"</formula>
    </cfRule>
  </conditionalFormatting>
  <dataValidations count="15">
    <dataValidation sqref="C43:C92" showDropDown="0" showInputMessage="0" showErrorMessage="1" allowBlank="1" errorTitle="Kategorie unbekannt" error="Bitte eine Kategorie aus der Liste wählen." type="list">
      <formula1>Kategorien</formula1>
    </dataValidation>
    <dataValidation sqref="D43:D92" showDropDown="0" showInputMessage="0" showErrorMessage="1" allowBlank="1" errorTitle="Leistung nicht im Katalog" error="Diese Leistung steht nicht im Katalog. Mit Ja als freie Position übernehmen - dann Einheit, Material und Zeit in den Spalten G, H und I eintragen." type="list" errorStyle="warning">
      <formula1>OFFSET(Sort_Leistung,MATCH($C43,Sort_Kategorie,0)-1,0,COUNTIF(Sort_Kategorie,$C43),1)</formula1>
    </dataValidation>
    <dataValidation sqref="B43:B92" showDropDown="0" showInputMessage="0" showErrorMessage="1" allowBlank="1" errorTitle="Eintrag nicht in der Vorschlagsliste" error="Freier Text ist erlaubt. Mit Ja bestätigen." type="list" errorStyle="warning">
      <formula1>Bereiche</formula1>
    </dataValidation>
    <dataValidation sqref="E43:E92" showDropDown="0" showInputMessage="0" showErrorMessage="1" allowBlank="1" errorTitle="Menge ungültig" error="Die Menge muss eine Zahl zwischen 0 und 100000 sein." type="decimal" operator="between">
      <formula1>0</formula1>
      <formula2>100000</formula2>
    </dataValidation>
    <dataValidation sqref="H43:H92" showDropDown="0" showInputMessage="0" showErrorMessage="1" allowBlank="1" errorTitle="Preis ungültig" error="Leer lassen für den Katalogpreis oder eine Zahl ab 0." type="decimal" operator="between">
      <formula1>0</formula1>
      <formula2>1000000</formula2>
    </dataValidation>
    <dataValidation sqref="I43:I92" showDropDown="0" showInputMessage="0" showErrorMessage="1" allowBlank="1" errorTitle="Zeitwert ungültig" error="Leer lassen für den Katalogwert oder eine Zahl ab 0." type="decimal" operator="between">
      <formula1>0</formula1>
      <formula2>1000</formula2>
    </dataValidation>
    <dataValidation sqref="D31" showDropDown="0" showInputMessage="0" showErrorMessage="1" allowBlank="0" errorTitle="Stundensatz ungültig" error="Bitte einen Stundensatz zwischen 0,01 und 1000 € eintragen." type="decimal" operator="between">
      <formula1>0.01</formula1>
      <formula2>1000</formula2>
    </dataValidation>
    <dataValidation sqref="D32 D33 D34 D36" showDropDown="0" showInputMessage="0" showErrorMessage="1" allowBlank="1" errorTitle="Prozentwert ungültig" error="Bitte einen Wert zwischen 0 % und 100 % eintragen." type="decimal" operator="between">
      <formula1>0</formula1>
      <formula2>1</formula2>
    </dataValidation>
    <dataValidation sqref="D39" showDropDown="0" showInputMessage="1" showErrorMessage="1" allowBlank="1" errorTitle="Preisanpassung ungültig" error="Bitte einen Wert zwischen -50 % und +100 % eintragen." promptTitle="Preisanpassung" prompt="Wirkt auf alle Materialpreise aus dem Katalog, z. B. 6 % bei gestiegenen Einkaufspreisen. Eigene Preise in Spalte H bleiben unverändert." type="decimal" operator="between">
      <formula1>-0.5</formula1>
      <formula2>1</formula2>
    </dataValidation>
    <dataValidation sqref="D35" showDropDown="0" showInputMessage="0" showErrorMessage="1" allowBlank="0" errorTitle="Steuersatz ungültig" error="Bitte einen Satz aus der Liste wählen." type="list">
      <formula1>USt_Saetze</formula1>
    </dataValidation>
    <dataValidation sqref="D37 D38" showDropDown="0" showInputMessage="0" showErrorMessage="1" allowBlank="1" errorTitle="Frist ungültig" error="Bitte ganze Tage zwischen 0 und 365 eintragen." type="whole" operator="between">
      <formula1>0</formula1>
      <formula2>365</formula2>
    </dataValidation>
    <dataValidation sqref="D14 D15" showDropDown="0" showInputMessage="0" showErrorMessage="1" allowBlank="1" errorTitle="Datum ungültig" error="Bitte ein Datum zwischen 01.01.2020 und 31.12.2099." type="date" operator="between">
      <formula1>DATE(2020,1,1)</formula1>
      <formula2>DATE(2099,12,31)</formula2>
    </dataValidation>
    <dataValidation sqref="D26" showDropDown="0" showInputMessage="0" showErrorMessage="1" allowBlank="0" errorTitle="Dokumentart ungültig" error="Bitte eine Dokumentart aus der Liste wählen." type="list">
      <formula1>Dokumentarten</formula1>
    </dataValidation>
    <dataValidation sqref="D27" showDropDown="0" showInputMessage="1" showErrorMessage="1" allowBlank="0" errorTitle="Auswahl ungültig" error="Bitte eine Umsatzsteuer-Behandlung aus der Liste wählen." promptTitle="Umsatzsteuer" prompt="Regelbesteuerung: mit Umsatzsteuer. § 13b: Sie arbeiten als Nachunternehmer für einen Bauleistenden. § 19: Sie sind Kleinunternehmer." type="list">
      <formula1>Steuerfaelle</formula1>
    </dataValidation>
    <dataValidation sqref="D28" showDropDown="0" showInputMessage="1" showErrorMessage="1" allowBlank="0" errorTitle="Auswahl ungültig" error="Bitte Ja oder Nein wählen." promptTitle="§ 35a EStG" prompt="Weist im Angebot die enthaltenen Arbeitskosten aus. Nur für Privatkunden sinnvoll, nicht für Neubauten." type="list">
      <formula1>JaNein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Q95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42" customWidth="1" min="4" max="4"/>
    <col width="10" customWidth="1" min="5" max="5"/>
    <col width="9" customWidth="1" min="6" max="6"/>
    <col width="15" customWidth="1" min="7" max="7"/>
    <col width="14" customWidth="1" min="8" max="8"/>
    <col width="15" customWidth="1" min="9" max="9"/>
    <col width="15" customWidth="1" min="10" max="10"/>
    <col width="12" customWidth="1" min="11" max="11"/>
    <col width="14" customWidth="1" min="12" max="12"/>
    <col width="15" customWidth="1" min="13" max="13"/>
    <col width="15" customWidth="1" min="14" max="14"/>
    <col width="16" customWidth="1" min="15" max="15"/>
    <col width="15" customWidth="1" min="16" max="16"/>
    <col width="38" customWidth="1" min="17" max="17"/>
  </cols>
  <sheetData>
    <row r="1">
      <c r="A1" s="5" t="inlineStr">
        <is>
          <t>Berechnung (automatisch, keine Eingabe erforderlich)</t>
        </is>
      </c>
    </row>
    <row r="2">
      <c r="A2" s="6" t="inlineStr">
        <is>
          <t>Jede Zeile entspricht einer Position aus dem Blatt Eingabe. Die Spalte Prüfung meldet unplausible Eingaben.</t>
        </is>
      </c>
    </row>
    <row r="3" ht="40" customHeight="1">
      <c r="A3" s="20" t="inlineStr">
        <is>
          <t>Pos.</t>
        </is>
      </c>
      <c r="B3" s="20" t="inlineStr">
        <is>
          <t>Dachfläche / Bauteil</t>
        </is>
      </c>
      <c r="C3" s="20" t="inlineStr">
        <is>
          <t>Kategorie</t>
        </is>
      </c>
      <c r="D3" s="20" t="inlineStr">
        <is>
          <t>Leistung</t>
        </is>
      </c>
      <c r="E3" s="20" t="inlineStr">
        <is>
          <t>Menge</t>
        </is>
      </c>
      <c r="F3" s="20" t="inlineStr">
        <is>
          <t>Einheit</t>
        </is>
      </c>
      <c r="G3" s="20" t="inlineStr">
        <is>
          <t>Material €/Einh.</t>
        </is>
      </c>
      <c r="H3" s="20" t="inlineStr">
        <is>
          <t>Zeit Std/Einh.</t>
        </is>
      </c>
      <c r="I3" s="20" t="inlineStr">
        <is>
          <t>Materialkosten</t>
        </is>
      </c>
      <c r="J3" s="20" t="inlineStr">
        <is>
          <t>Materialzuschlag</t>
        </is>
      </c>
      <c r="K3" s="20" t="inlineStr">
        <is>
          <t>Lohnstunden</t>
        </is>
      </c>
      <c r="L3" s="20" t="inlineStr">
        <is>
          <t>Lohnkosten</t>
        </is>
      </c>
      <c r="M3" s="20" t="inlineStr">
        <is>
          <t>Zwischensumme</t>
        </is>
      </c>
      <c r="N3" s="20" t="inlineStr">
        <is>
          <t>Wagnis + Gewinn</t>
        </is>
      </c>
      <c r="O3" s="20" t="inlineStr">
        <is>
          <t>Positionssumme netto</t>
        </is>
      </c>
      <c r="P3" s="20" t="inlineStr">
        <is>
          <t>Einzelpreis €/Einh.</t>
        </is>
      </c>
      <c r="Q3" s="20" t="inlineStr">
        <is>
          <t>Prüfung</t>
        </is>
      </c>
    </row>
    <row r="4">
      <c r="A4" s="21">
        <f>IF($D4="","",Eingabe!A43)</f>
        <v/>
      </c>
      <c r="B4" s="13">
        <f>IF($D4="","",IF(Eingabe!B43="","",Eingabe!B43))</f>
        <v/>
      </c>
      <c r="C4" s="13">
        <f>IF($D4="","",IF(Eingabe!C43="","",Eingabe!C43))</f>
        <v/>
      </c>
      <c r="D4" s="13">
        <f>IF(Eingabe!D43="","",Eingabe!D43)</f>
        <v/>
      </c>
      <c r="E4" s="26">
        <f>IF($D4="","",IF(ISNUMBER(Eingabe!E43),Eingabe!E43,0))</f>
        <v/>
      </c>
      <c r="F4" s="21">
        <f>IF($D4="","",IF(Eingabe!G43&lt;&gt;"",Eingabe!G43,IFERROR(INDEX(Katalog_Einheit,MATCH($D4,Katalog_Leistung,0)),"?")))</f>
        <v/>
      </c>
      <c r="G4" s="27">
        <f>IF($D4="","",IF(ISNUMBER(Eingabe!H43),Eingabe!H43,IFERROR(INDEX(Katalog_Material,MATCH($D4,Katalog_Leistung,0)),0)*(1+IF(ISNUMBER(Eingabe!$D$39),Eingabe!$D$39,0))))</f>
        <v/>
      </c>
      <c r="H4" s="28">
        <f>IF($D4="","",IF(ISNUMBER(Eingabe!I43),Eingabe!I43,IFERROR(INDEX(Katalog_Zeit,MATCH($D4,Katalog_Leistung,0)),0)))</f>
        <v/>
      </c>
      <c r="I4" s="27">
        <f>IF($D4="","",ROUND($E4*$G4,2))</f>
        <v/>
      </c>
      <c r="J4" s="27">
        <f>IF($D4="","",ROUND($I4*IF(ISNUMBER(Eingabe!$D$32),Eingabe!$D$32,0),2))</f>
        <v/>
      </c>
      <c r="K4" s="28">
        <f>IF($D4="","",$E4*$H4)</f>
        <v/>
      </c>
      <c r="L4" s="27">
        <f>IF($D4="","",ROUND($K4*IF(ISNUMBER(Eingabe!$D$31),Eingabe!$D$31,0),2))</f>
        <v/>
      </c>
      <c r="M4" s="27">
        <f>IF($D4="","",$I4+$J4+$L4)</f>
        <v/>
      </c>
      <c r="N4" s="27">
        <f>IF($D4="","",ROUND($M4*IF(ISNUMBER(Eingabe!$D$33),Eingabe!$D$33,0),2))</f>
        <v/>
      </c>
      <c r="O4" s="27">
        <f>IF($D4="","",ROUND($E4*$P4,2))</f>
        <v/>
      </c>
      <c r="P4" s="27">
        <f>IF($D4="","",IFERROR(ROUND(($M4+$N4)/$E4,2),0))</f>
        <v/>
      </c>
      <c r="Q4" s="13">
        <f>IF($D4="","",IF(ISNA(MATCH($D4,Katalog_Leistung,0)),IF(OR(Eingabe!G43="",NOT(ISNUMBER(Eingabe!H43)),NOT(ISNUMBER(Eingabe!I43))),"! Freie Position: Einheit, Material und Zeit in Spalte G, H und I eintragen",IF(NOT(ISNUMBER(Eingabe!E43)),"! Menge fehlt oder ist keine Zahl",IF($E4&lt;=0,"! Menge muss größer 0 sein","OK - freie Position"))),IF(COUNTIF(Katalog_Leistung,$D4)&gt;1,"! Leistung steht mehrfach im Katalog - siehe Stammdaten",IF(INDEX(Katalog_Kategorie,MATCH($D4,Katalog_Leistung,0))&lt;&gt;$C4,"! Kategorie passt nicht zur Leistung",IF(NOT(ISNUMBER(Eingabe!E43)),"! Menge fehlt oder ist keine Zahl",IF($E4&lt;=0,"! Menge muss größer 0 sein",IF(OR(Eingabe!G43&lt;&gt;"",ISNUMBER(Eingabe!H43),ISNUMBER(Eingabe!I43)),"OK - manueller Wert überschreibt Katalog","OK")))))))</f>
        <v/>
      </c>
    </row>
    <row r="5">
      <c r="A5" s="21">
        <f>IF($D5="","",Eingabe!A44)</f>
        <v/>
      </c>
      <c r="B5" s="13">
        <f>IF($D5="","",IF(Eingabe!B44="","",Eingabe!B44))</f>
        <v/>
      </c>
      <c r="C5" s="13">
        <f>IF($D5="","",IF(Eingabe!C44="","",Eingabe!C44))</f>
        <v/>
      </c>
      <c r="D5" s="13">
        <f>IF(Eingabe!D44="","",Eingabe!D44)</f>
        <v/>
      </c>
      <c r="E5" s="26">
        <f>IF($D5="","",IF(ISNUMBER(Eingabe!E44),Eingabe!E44,0))</f>
        <v/>
      </c>
      <c r="F5" s="21">
        <f>IF($D5="","",IF(Eingabe!G44&lt;&gt;"",Eingabe!G44,IFERROR(INDEX(Katalog_Einheit,MATCH($D5,Katalog_Leistung,0)),"?")))</f>
        <v/>
      </c>
      <c r="G5" s="27">
        <f>IF($D5="","",IF(ISNUMBER(Eingabe!H44),Eingabe!H44,IFERROR(INDEX(Katalog_Material,MATCH($D5,Katalog_Leistung,0)),0)*(1+IF(ISNUMBER(Eingabe!$D$39),Eingabe!$D$39,0))))</f>
        <v/>
      </c>
      <c r="H5" s="28">
        <f>IF($D5="","",IF(ISNUMBER(Eingabe!I44),Eingabe!I44,IFERROR(INDEX(Katalog_Zeit,MATCH($D5,Katalog_Leistung,0)),0)))</f>
        <v/>
      </c>
      <c r="I5" s="27">
        <f>IF($D5="","",ROUND($E5*$G5,2))</f>
        <v/>
      </c>
      <c r="J5" s="27">
        <f>IF($D5="","",ROUND($I5*IF(ISNUMBER(Eingabe!$D$32),Eingabe!$D$32,0),2))</f>
        <v/>
      </c>
      <c r="K5" s="28">
        <f>IF($D5="","",$E5*$H5)</f>
        <v/>
      </c>
      <c r="L5" s="27">
        <f>IF($D5="","",ROUND($K5*IF(ISNUMBER(Eingabe!$D$31),Eingabe!$D$31,0),2))</f>
        <v/>
      </c>
      <c r="M5" s="27">
        <f>IF($D5="","",$I5+$J5+$L5)</f>
        <v/>
      </c>
      <c r="N5" s="27">
        <f>IF($D5="","",ROUND($M5*IF(ISNUMBER(Eingabe!$D$33),Eingabe!$D$33,0),2))</f>
        <v/>
      </c>
      <c r="O5" s="27">
        <f>IF($D5="","",ROUND($E5*$P5,2))</f>
        <v/>
      </c>
      <c r="P5" s="27">
        <f>IF($D5="","",IFERROR(ROUND(($M5+$N5)/$E5,2),0))</f>
        <v/>
      </c>
      <c r="Q5" s="13">
        <f>IF($D5="","",IF(ISNA(MATCH($D5,Katalog_Leistung,0)),IF(OR(Eingabe!G44="",NOT(ISNUMBER(Eingabe!H44)),NOT(ISNUMBER(Eingabe!I44))),"! Freie Position: Einheit, Material und Zeit in Spalte G, H und I eintragen",IF(NOT(ISNUMBER(Eingabe!E44)),"! Menge fehlt oder ist keine Zahl",IF($E5&lt;=0,"! Menge muss größer 0 sein","OK - freie Position"))),IF(COUNTIF(Katalog_Leistung,$D5)&gt;1,"! Leistung steht mehrfach im Katalog - siehe Stammdaten",IF(INDEX(Katalog_Kategorie,MATCH($D5,Katalog_Leistung,0))&lt;&gt;$C5,"! Kategorie passt nicht zur Leistung",IF(NOT(ISNUMBER(Eingabe!E44)),"! Menge fehlt oder ist keine Zahl",IF($E5&lt;=0,"! Menge muss größer 0 sein",IF(OR(Eingabe!G44&lt;&gt;"",ISNUMBER(Eingabe!H44),ISNUMBER(Eingabe!I44)),"OK - manueller Wert überschreibt Katalog","OK")))))))</f>
        <v/>
      </c>
    </row>
    <row r="6">
      <c r="A6" s="21">
        <f>IF($D6="","",Eingabe!A45)</f>
        <v/>
      </c>
      <c r="B6" s="13">
        <f>IF($D6="","",IF(Eingabe!B45="","",Eingabe!B45))</f>
        <v/>
      </c>
      <c r="C6" s="13">
        <f>IF($D6="","",IF(Eingabe!C45="","",Eingabe!C45))</f>
        <v/>
      </c>
      <c r="D6" s="13">
        <f>IF(Eingabe!D45="","",Eingabe!D45)</f>
        <v/>
      </c>
      <c r="E6" s="26">
        <f>IF($D6="","",IF(ISNUMBER(Eingabe!E45),Eingabe!E45,0))</f>
        <v/>
      </c>
      <c r="F6" s="21">
        <f>IF($D6="","",IF(Eingabe!G45&lt;&gt;"",Eingabe!G45,IFERROR(INDEX(Katalog_Einheit,MATCH($D6,Katalog_Leistung,0)),"?")))</f>
        <v/>
      </c>
      <c r="G6" s="27">
        <f>IF($D6="","",IF(ISNUMBER(Eingabe!H45),Eingabe!H45,IFERROR(INDEX(Katalog_Material,MATCH($D6,Katalog_Leistung,0)),0)*(1+IF(ISNUMBER(Eingabe!$D$39),Eingabe!$D$39,0))))</f>
        <v/>
      </c>
      <c r="H6" s="28">
        <f>IF($D6="","",IF(ISNUMBER(Eingabe!I45),Eingabe!I45,IFERROR(INDEX(Katalog_Zeit,MATCH($D6,Katalog_Leistung,0)),0)))</f>
        <v/>
      </c>
      <c r="I6" s="27">
        <f>IF($D6="","",ROUND($E6*$G6,2))</f>
        <v/>
      </c>
      <c r="J6" s="27">
        <f>IF($D6="","",ROUND($I6*IF(ISNUMBER(Eingabe!$D$32),Eingabe!$D$32,0),2))</f>
        <v/>
      </c>
      <c r="K6" s="28">
        <f>IF($D6="","",$E6*$H6)</f>
        <v/>
      </c>
      <c r="L6" s="27">
        <f>IF($D6="","",ROUND($K6*IF(ISNUMBER(Eingabe!$D$31),Eingabe!$D$31,0),2))</f>
        <v/>
      </c>
      <c r="M6" s="27">
        <f>IF($D6="","",$I6+$J6+$L6)</f>
        <v/>
      </c>
      <c r="N6" s="27">
        <f>IF($D6="","",ROUND($M6*IF(ISNUMBER(Eingabe!$D$33),Eingabe!$D$33,0),2))</f>
        <v/>
      </c>
      <c r="O6" s="27">
        <f>IF($D6="","",ROUND($E6*$P6,2))</f>
        <v/>
      </c>
      <c r="P6" s="27">
        <f>IF($D6="","",IFERROR(ROUND(($M6+$N6)/$E6,2),0))</f>
        <v/>
      </c>
      <c r="Q6" s="13">
        <f>IF($D6="","",IF(ISNA(MATCH($D6,Katalog_Leistung,0)),IF(OR(Eingabe!G45="",NOT(ISNUMBER(Eingabe!H45)),NOT(ISNUMBER(Eingabe!I45))),"! Freie Position: Einheit, Material und Zeit in Spalte G, H und I eintragen",IF(NOT(ISNUMBER(Eingabe!E45)),"! Menge fehlt oder ist keine Zahl",IF($E6&lt;=0,"! Menge muss größer 0 sein","OK - freie Position"))),IF(COUNTIF(Katalog_Leistung,$D6)&gt;1,"! Leistung steht mehrfach im Katalog - siehe Stammdaten",IF(INDEX(Katalog_Kategorie,MATCH($D6,Katalog_Leistung,0))&lt;&gt;$C6,"! Kategorie passt nicht zur Leistung",IF(NOT(ISNUMBER(Eingabe!E45)),"! Menge fehlt oder ist keine Zahl",IF($E6&lt;=0,"! Menge muss größer 0 sein",IF(OR(Eingabe!G45&lt;&gt;"",ISNUMBER(Eingabe!H45),ISNUMBER(Eingabe!I45)),"OK - manueller Wert überschreibt Katalog","OK")))))))</f>
        <v/>
      </c>
    </row>
    <row r="7">
      <c r="A7" s="21">
        <f>IF($D7="","",Eingabe!A46)</f>
        <v/>
      </c>
      <c r="B7" s="13">
        <f>IF($D7="","",IF(Eingabe!B46="","",Eingabe!B46))</f>
        <v/>
      </c>
      <c r="C7" s="13">
        <f>IF($D7="","",IF(Eingabe!C46="","",Eingabe!C46))</f>
        <v/>
      </c>
      <c r="D7" s="13">
        <f>IF(Eingabe!D46="","",Eingabe!D46)</f>
        <v/>
      </c>
      <c r="E7" s="26">
        <f>IF($D7="","",IF(ISNUMBER(Eingabe!E46),Eingabe!E46,0))</f>
        <v/>
      </c>
      <c r="F7" s="21">
        <f>IF($D7="","",IF(Eingabe!G46&lt;&gt;"",Eingabe!G46,IFERROR(INDEX(Katalog_Einheit,MATCH($D7,Katalog_Leistung,0)),"?")))</f>
        <v/>
      </c>
      <c r="G7" s="27">
        <f>IF($D7="","",IF(ISNUMBER(Eingabe!H46),Eingabe!H46,IFERROR(INDEX(Katalog_Material,MATCH($D7,Katalog_Leistung,0)),0)*(1+IF(ISNUMBER(Eingabe!$D$39),Eingabe!$D$39,0))))</f>
        <v/>
      </c>
      <c r="H7" s="28">
        <f>IF($D7="","",IF(ISNUMBER(Eingabe!I46),Eingabe!I46,IFERROR(INDEX(Katalog_Zeit,MATCH($D7,Katalog_Leistung,0)),0)))</f>
        <v/>
      </c>
      <c r="I7" s="27">
        <f>IF($D7="","",ROUND($E7*$G7,2))</f>
        <v/>
      </c>
      <c r="J7" s="27">
        <f>IF($D7="","",ROUND($I7*IF(ISNUMBER(Eingabe!$D$32),Eingabe!$D$32,0),2))</f>
        <v/>
      </c>
      <c r="K7" s="28">
        <f>IF($D7="","",$E7*$H7)</f>
        <v/>
      </c>
      <c r="L7" s="27">
        <f>IF($D7="","",ROUND($K7*IF(ISNUMBER(Eingabe!$D$31),Eingabe!$D$31,0),2))</f>
        <v/>
      </c>
      <c r="M7" s="27">
        <f>IF($D7="","",$I7+$J7+$L7)</f>
        <v/>
      </c>
      <c r="N7" s="27">
        <f>IF($D7="","",ROUND($M7*IF(ISNUMBER(Eingabe!$D$33),Eingabe!$D$33,0),2))</f>
        <v/>
      </c>
      <c r="O7" s="27">
        <f>IF($D7="","",ROUND($E7*$P7,2))</f>
        <v/>
      </c>
      <c r="P7" s="27">
        <f>IF($D7="","",IFERROR(ROUND(($M7+$N7)/$E7,2),0))</f>
        <v/>
      </c>
      <c r="Q7" s="13">
        <f>IF($D7="","",IF(ISNA(MATCH($D7,Katalog_Leistung,0)),IF(OR(Eingabe!G46="",NOT(ISNUMBER(Eingabe!H46)),NOT(ISNUMBER(Eingabe!I46))),"! Freie Position: Einheit, Material und Zeit in Spalte G, H und I eintragen",IF(NOT(ISNUMBER(Eingabe!E46)),"! Menge fehlt oder ist keine Zahl",IF($E7&lt;=0,"! Menge muss größer 0 sein","OK - freie Position"))),IF(COUNTIF(Katalog_Leistung,$D7)&gt;1,"! Leistung steht mehrfach im Katalog - siehe Stammdaten",IF(INDEX(Katalog_Kategorie,MATCH($D7,Katalog_Leistung,0))&lt;&gt;$C7,"! Kategorie passt nicht zur Leistung",IF(NOT(ISNUMBER(Eingabe!E46)),"! Menge fehlt oder ist keine Zahl",IF($E7&lt;=0,"! Menge muss größer 0 sein",IF(OR(Eingabe!G46&lt;&gt;"",ISNUMBER(Eingabe!H46),ISNUMBER(Eingabe!I46)),"OK - manueller Wert überschreibt Katalog","OK")))))))</f>
        <v/>
      </c>
    </row>
    <row r="8">
      <c r="A8" s="21">
        <f>IF($D8="","",Eingabe!A47)</f>
        <v/>
      </c>
      <c r="B8" s="13">
        <f>IF($D8="","",IF(Eingabe!B47="","",Eingabe!B47))</f>
        <v/>
      </c>
      <c r="C8" s="13">
        <f>IF($D8="","",IF(Eingabe!C47="","",Eingabe!C47))</f>
        <v/>
      </c>
      <c r="D8" s="13">
        <f>IF(Eingabe!D47="","",Eingabe!D47)</f>
        <v/>
      </c>
      <c r="E8" s="26">
        <f>IF($D8="","",IF(ISNUMBER(Eingabe!E47),Eingabe!E47,0))</f>
        <v/>
      </c>
      <c r="F8" s="21">
        <f>IF($D8="","",IF(Eingabe!G47&lt;&gt;"",Eingabe!G47,IFERROR(INDEX(Katalog_Einheit,MATCH($D8,Katalog_Leistung,0)),"?")))</f>
        <v/>
      </c>
      <c r="G8" s="27">
        <f>IF($D8="","",IF(ISNUMBER(Eingabe!H47),Eingabe!H47,IFERROR(INDEX(Katalog_Material,MATCH($D8,Katalog_Leistung,0)),0)*(1+IF(ISNUMBER(Eingabe!$D$39),Eingabe!$D$39,0))))</f>
        <v/>
      </c>
      <c r="H8" s="28">
        <f>IF($D8="","",IF(ISNUMBER(Eingabe!I47),Eingabe!I47,IFERROR(INDEX(Katalog_Zeit,MATCH($D8,Katalog_Leistung,0)),0)))</f>
        <v/>
      </c>
      <c r="I8" s="27">
        <f>IF($D8="","",ROUND($E8*$G8,2))</f>
        <v/>
      </c>
      <c r="J8" s="27">
        <f>IF($D8="","",ROUND($I8*IF(ISNUMBER(Eingabe!$D$32),Eingabe!$D$32,0),2))</f>
        <v/>
      </c>
      <c r="K8" s="28">
        <f>IF($D8="","",$E8*$H8)</f>
        <v/>
      </c>
      <c r="L8" s="27">
        <f>IF($D8="","",ROUND($K8*IF(ISNUMBER(Eingabe!$D$31),Eingabe!$D$31,0),2))</f>
        <v/>
      </c>
      <c r="M8" s="27">
        <f>IF($D8="","",$I8+$J8+$L8)</f>
        <v/>
      </c>
      <c r="N8" s="27">
        <f>IF($D8="","",ROUND($M8*IF(ISNUMBER(Eingabe!$D$33),Eingabe!$D$33,0),2))</f>
        <v/>
      </c>
      <c r="O8" s="27">
        <f>IF($D8="","",ROUND($E8*$P8,2))</f>
        <v/>
      </c>
      <c r="P8" s="27">
        <f>IF($D8="","",IFERROR(ROUND(($M8+$N8)/$E8,2),0))</f>
        <v/>
      </c>
      <c r="Q8" s="13">
        <f>IF($D8="","",IF(ISNA(MATCH($D8,Katalog_Leistung,0)),IF(OR(Eingabe!G47="",NOT(ISNUMBER(Eingabe!H47)),NOT(ISNUMBER(Eingabe!I47))),"! Freie Position: Einheit, Material und Zeit in Spalte G, H und I eintragen",IF(NOT(ISNUMBER(Eingabe!E47)),"! Menge fehlt oder ist keine Zahl",IF($E8&lt;=0,"! Menge muss größer 0 sein","OK - freie Position"))),IF(COUNTIF(Katalog_Leistung,$D8)&gt;1,"! Leistung steht mehrfach im Katalog - siehe Stammdaten",IF(INDEX(Katalog_Kategorie,MATCH($D8,Katalog_Leistung,0))&lt;&gt;$C8,"! Kategorie passt nicht zur Leistung",IF(NOT(ISNUMBER(Eingabe!E47)),"! Menge fehlt oder ist keine Zahl",IF($E8&lt;=0,"! Menge muss größer 0 sein",IF(OR(Eingabe!G47&lt;&gt;"",ISNUMBER(Eingabe!H47),ISNUMBER(Eingabe!I47)),"OK - manueller Wert überschreibt Katalog","OK")))))))</f>
        <v/>
      </c>
    </row>
    <row r="9">
      <c r="A9" s="21">
        <f>IF($D9="","",Eingabe!A48)</f>
        <v/>
      </c>
      <c r="B9" s="13">
        <f>IF($D9="","",IF(Eingabe!B48="","",Eingabe!B48))</f>
        <v/>
      </c>
      <c r="C9" s="13">
        <f>IF($D9="","",IF(Eingabe!C48="","",Eingabe!C48))</f>
        <v/>
      </c>
      <c r="D9" s="13">
        <f>IF(Eingabe!D48="","",Eingabe!D48)</f>
        <v/>
      </c>
      <c r="E9" s="26">
        <f>IF($D9="","",IF(ISNUMBER(Eingabe!E48),Eingabe!E48,0))</f>
        <v/>
      </c>
      <c r="F9" s="21">
        <f>IF($D9="","",IF(Eingabe!G48&lt;&gt;"",Eingabe!G48,IFERROR(INDEX(Katalog_Einheit,MATCH($D9,Katalog_Leistung,0)),"?")))</f>
        <v/>
      </c>
      <c r="G9" s="27">
        <f>IF($D9="","",IF(ISNUMBER(Eingabe!H48),Eingabe!H48,IFERROR(INDEX(Katalog_Material,MATCH($D9,Katalog_Leistung,0)),0)*(1+IF(ISNUMBER(Eingabe!$D$39),Eingabe!$D$39,0))))</f>
        <v/>
      </c>
      <c r="H9" s="28">
        <f>IF($D9="","",IF(ISNUMBER(Eingabe!I48),Eingabe!I48,IFERROR(INDEX(Katalog_Zeit,MATCH($D9,Katalog_Leistung,0)),0)))</f>
        <v/>
      </c>
      <c r="I9" s="27">
        <f>IF($D9="","",ROUND($E9*$G9,2))</f>
        <v/>
      </c>
      <c r="J9" s="27">
        <f>IF($D9="","",ROUND($I9*IF(ISNUMBER(Eingabe!$D$32),Eingabe!$D$32,0),2))</f>
        <v/>
      </c>
      <c r="K9" s="28">
        <f>IF($D9="","",$E9*$H9)</f>
        <v/>
      </c>
      <c r="L9" s="27">
        <f>IF($D9="","",ROUND($K9*IF(ISNUMBER(Eingabe!$D$31),Eingabe!$D$31,0),2))</f>
        <v/>
      </c>
      <c r="M9" s="27">
        <f>IF($D9="","",$I9+$J9+$L9)</f>
        <v/>
      </c>
      <c r="N9" s="27">
        <f>IF($D9="","",ROUND($M9*IF(ISNUMBER(Eingabe!$D$33),Eingabe!$D$33,0),2))</f>
        <v/>
      </c>
      <c r="O9" s="27">
        <f>IF($D9="","",ROUND($E9*$P9,2))</f>
        <v/>
      </c>
      <c r="P9" s="27">
        <f>IF($D9="","",IFERROR(ROUND(($M9+$N9)/$E9,2),0))</f>
        <v/>
      </c>
      <c r="Q9" s="13">
        <f>IF($D9="","",IF(ISNA(MATCH($D9,Katalog_Leistung,0)),IF(OR(Eingabe!G48="",NOT(ISNUMBER(Eingabe!H48)),NOT(ISNUMBER(Eingabe!I48))),"! Freie Position: Einheit, Material und Zeit in Spalte G, H und I eintragen",IF(NOT(ISNUMBER(Eingabe!E48)),"! Menge fehlt oder ist keine Zahl",IF($E9&lt;=0,"! Menge muss größer 0 sein","OK - freie Position"))),IF(COUNTIF(Katalog_Leistung,$D9)&gt;1,"! Leistung steht mehrfach im Katalog - siehe Stammdaten",IF(INDEX(Katalog_Kategorie,MATCH($D9,Katalog_Leistung,0))&lt;&gt;$C9,"! Kategorie passt nicht zur Leistung",IF(NOT(ISNUMBER(Eingabe!E48)),"! Menge fehlt oder ist keine Zahl",IF($E9&lt;=0,"! Menge muss größer 0 sein",IF(OR(Eingabe!G48&lt;&gt;"",ISNUMBER(Eingabe!H48),ISNUMBER(Eingabe!I48)),"OK - manueller Wert überschreibt Katalog","OK")))))))</f>
        <v/>
      </c>
    </row>
    <row r="10">
      <c r="A10" s="21">
        <f>IF($D10="","",Eingabe!A49)</f>
        <v/>
      </c>
      <c r="B10" s="13">
        <f>IF($D10="","",IF(Eingabe!B49="","",Eingabe!B49))</f>
        <v/>
      </c>
      <c r="C10" s="13">
        <f>IF($D10="","",IF(Eingabe!C49="","",Eingabe!C49))</f>
        <v/>
      </c>
      <c r="D10" s="13">
        <f>IF(Eingabe!D49="","",Eingabe!D49)</f>
        <v/>
      </c>
      <c r="E10" s="26">
        <f>IF($D10="","",IF(ISNUMBER(Eingabe!E49),Eingabe!E49,0))</f>
        <v/>
      </c>
      <c r="F10" s="21">
        <f>IF($D10="","",IF(Eingabe!G49&lt;&gt;"",Eingabe!G49,IFERROR(INDEX(Katalog_Einheit,MATCH($D10,Katalog_Leistung,0)),"?")))</f>
        <v/>
      </c>
      <c r="G10" s="27">
        <f>IF($D10="","",IF(ISNUMBER(Eingabe!H49),Eingabe!H49,IFERROR(INDEX(Katalog_Material,MATCH($D10,Katalog_Leistung,0)),0)*(1+IF(ISNUMBER(Eingabe!$D$39),Eingabe!$D$39,0))))</f>
        <v/>
      </c>
      <c r="H10" s="28">
        <f>IF($D10="","",IF(ISNUMBER(Eingabe!I49),Eingabe!I49,IFERROR(INDEX(Katalog_Zeit,MATCH($D10,Katalog_Leistung,0)),0)))</f>
        <v/>
      </c>
      <c r="I10" s="27">
        <f>IF($D10="","",ROUND($E10*$G10,2))</f>
        <v/>
      </c>
      <c r="J10" s="27">
        <f>IF($D10="","",ROUND($I10*IF(ISNUMBER(Eingabe!$D$32),Eingabe!$D$32,0),2))</f>
        <v/>
      </c>
      <c r="K10" s="28">
        <f>IF($D10="","",$E10*$H10)</f>
        <v/>
      </c>
      <c r="L10" s="27">
        <f>IF($D10="","",ROUND($K10*IF(ISNUMBER(Eingabe!$D$31),Eingabe!$D$31,0),2))</f>
        <v/>
      </c>
      <c r="M10" s="27">
        <f>IF($D10="","",$I10+$J10+$L10)</f>
        <v/>
      </c>
      <c r="N10" s="27">
        <f>IF($D10="","",ROUND($M10*IF(ISNUMBER(Eingabe!$D$33),Eingabe!$D$33,0),2))</f>
        <v/>
      </c>
      <c r="O10" s="27">
        <f>IF($D10="","",ROUND($E10*$P10,2))</f>
        <v/>
      </c>
      <c r="P10" s="27">
        <f>IF($D10="","",IFERROR(ROUND(($M10+$N10)/$E10,2),0))</f>
        <v/>
      </c>
      <c r="Q10" s="13">
        <f>IF($D10="","",IF(ISNA(MATCH($D10,Katalog_Leistung,0)),IF(OR(Eingabe!G49="",NOT(ISNUMBER(Eingabe!H49)),NOT(ISNUMBER(Eingabe!I49))),"! Freie Position: Einheit, Material und Zeit in Spalte G, H und I eintragen",IF(NOT(ISNUMBER(Eingabe!E49)),"! Menge fehlt oder ist keine Zahl",IF($E10&lt;=0,"! Menge muss größer 0 sein","OK - freie Position"))),IF(COUNTIF(Katalog_Leistung,$D10)&gt;1,"! Leistung steht mehrfach im Katalog - siehe Stammdaten",IF(INDEX(Katalog_Kategorie,MATCH($D10,Katalog_Leistung,0))&lt;&gt;$C10,"! Kategorie passt nicht zur Leistung",IF(NOT(ISNUMBER(Eingabe!E49)),"! Menge fehlt oder ist keine Zahl",IF($E10&lt;=0,"! Menge muss größer 0 sein",IF(OR(Eingabe!G49&lt;&gt;"",ISNUMBER(Eingabe!H49),ISNUMBER(Eingabe!I49)),"OK - manueller Wert überschreibt Katalog","OK")))))))</f>
        <v/>
      </c>
    </row>
    <row r="11">
      <c r="A11" s="21">
        <f>IF($D11="","",Eingabe!A50)</f>
        <v/>
      </c>
      <c r="B11" s="13">
        <f>IF($D11="","",IF(Eingabe!B50="","",Eingabe!B50))</f>
        <v/>
      </c>
      <c r="C11" s="13">
        <f>IF($D11="","",IF(Eingabe!C50="","",Eingabe!C50))</f>
        <v/>
      </c>
      <c r="D11" s="13">
        <f>IF(Eingabe!D50="","",Eingabe!D50)</f>
        <v/>
      </c>
      <c r="E11" s="26">
        <f>IF($D11="","",IF(ISNUMBER(Eingabe!E50),Eingabe!E50,0))</f>
        <v/>
      </c>
      <c r="F11" s="21">
        <f>IF($D11="","",IF(Eingabe!G50&lt;&gt;"",Eingabe!G50,IFERROR(INDEX(Katalog_Einheit,MATCH($D11,Katalog_Leistung,0)),"?")))</f>
        <v/>
      </c>
      <c r="G11" s="27">
        <f>IF($D11="","",IF(ISNUMBER(Eingabe!H50),Eingabe!H50,IFERROR(INDEX(Katalog_Material,MATCH($D11,Katalog_Leistung,0)),0)*(1+IF(ISNUMBER(Eingabe!$D$39),Eingabe!$D$39,0))))</f>
        <v/>
      </c>
      <c r="H11" s="28">
        <f>IF($D11="","",IF(ISNUMBER(Eingabe!I50),Eingabe!I50,IFERROR(INDEX(Katalog_Zeit,MATCH($D11,Katalog_Leistung,0)),0)))</f>
        <v/>
      </c>
      <c r="I11" s="27">
        <f>IF($D11="","",ROUND($E11*$G11,2))</f>
        <v/>
      </c>
      <c r="J11" s="27">
        <f>IF($D11="","",ROUND($I11*IF(ISNUMBER(Eingabe!$D$32),Eingabe!$D$32,0),2))</f>
        <v/>
      </c>
      <c r="K11" s="28">
        <f>IF($D11="","",$E11*$H11)</f>
        <v/>
      </c>
      <c r="L11" s="27">
        <f>IF($D11="","",ROUND($K11*IF(ISNUMBER(Eingabe!$D$31),Eingabe!$D$31,0),2))</f>
        <v/>
      </c>
      <c r="M11" s="27">
        <f>IF($D11="","",$I11+$J11+$L11)</f>
        <v/>
      </c>
      <c r="N11" s="27">
        <f>IF($D11="","",ROUND($M11*IF(ISNUMBER(Eingabe!$D$33),Eingabe!$D$33,0),2))</f>
        <v/>
      </c>
      <c r="O11" s="27">
        <f>IF($D11="","",ROUND($E11*$P11,2))</f>
        <v/>
      </c>
      <c r="P11" s="27">
        <f>IF($D11="","",IFERROR(ROUND(($M11+$N11)/$E11,2),0))</f>
        <v/>
      </c>
      <c r="Q11" s="13">
        <f>IF($D11="","",IF(ISNA(MATCH($D11,Katalog_Leistung,0)),IF(OR(Eingabe!G50="",NOT(ISNUMBER(Eingabe!H50)),NOT(ISNUMBER(Eingabe!I50))),"! Freie Position: Einheit, Material und Zeit in Spalte G, H und I eintragen",IF(NOT(ISNUMBER(Eingabe!E50)),"! Menge fehlt oder ist keine Zahl",IF($E11&lt;=0,"! Menge muss größer 0 sein","OK - freie Position"))),IF(COUNTIF(Katalog_Leistung,$D11)&gt;1,"! Leistung steht mehrfach im Katalog - siehe Stammdaten",IF(INDEX(Katalog_Kategorie,MATCH($D11,Katalog_Leistung,0))&lt;&gt;$C11,"! Kategorie passt nicht zur Leistung",IF(NOT(ISNUMBER(Eingabe!E50)),"! Menge fehlt oder ist keine Zahl",IF($E11&lt;=0,"! Menge muss größer 0 sein",IF(OR(Eingabe!G50&lt;&gt;"",ISNUMBER(Eingabe!H50),ISNUMBER(Eingabe!I50)),"OK - manueller Wert überschreibt Katalog","OK")))))))</f>
        <v/>
      </c>
    </row>
    <row r="12">
      <c r="A12" s="21">
        <f>IF($D12="","",Eingabe!A51)</f>
        <v/>
      </c>
      <c r="B12" s="13">
        <f>IF($D12="","",IF(Eingabe!B51="","",Eingabe!B51))</f>
        <v/>
      </c>
      <c r="C12" s="13">
        <f>IF($D12="","",IF(Eingabe!C51="","",Eingabe!C51))</f>
        <v/>
      </c>
      <c r="D12" s="13">
        <f>IF(Eingabe!D51="","",Eingabe!D51)</f>
        <v/>
      </c>
      <c r="E12" s="26">
        <f>IF($D12="","",IF(ISNUMBER(Eingabe!E51),Eingabe!E51,0))</f>
        <v/>
      </c>
      <c r="F12" s="21">
        <f>IF($D12="","",IF(Eingabe!G51&lt;&gt;"",Eingabe!G51,IFERROR(INDEX(Katalog_Einheit,MATCH($D12,Katalog_Leistung,0)),"?")))</f>
        <v/>
      </c>
      <c r="G12" s="27">
        <f>IF($D12="","",IF(ISNUMBER(Eingabe!H51),Eingabe!H51,IFERROR(INDEX(Katalog_Material,MATCH($D12,Katalog_Leistung,0)),0)*(1+IF(ISNUMBER(Eingabe!$D$39),Eingabe!$D$39,0))))</f>
        <v/>
      </c>
      <c r="H12" s="28">
        <f>IF($D12="","",IF(ISNUMBER(Eingabe!I51),Eingabe!I51,IFERROR(INDEX(Katalog_Zeit,MATCH($D12,Katalog_Leistung,0)),0)))</f>
        <v/>
      </c>
      <c r="I12" s="27">
        <f>IF($D12="","",ROUND($E12*$G12,2))</f>
        <v/>
      </c>
      <c r="J12" s="27">
        <f>IF($D12="","",ROUND($I12*IF(ISNUMBER(Eingabe!$D$32),Eingabe!$D$32,0),2))</f>
        <v/>
      </c>
      <c r="K12" s="28">
        <f>IF($D12="","",$E12*$H12)</f>
        <v/>
      </c>
      <c r="L12" s="27">
        <f>IF($D12="","",ROUND($K12*IF(ISNUMBER(Eingabe!$D$31),Eingabe!$D$31,0),2))</f>
        <v/>
      </c>
      <c r="M12" s="27">
        <f>IF($D12="","",$I12+$J12+$L12)</f>
        <v/>
      </c>
      <c r="N12" s="27">
        <f>IF($D12="","",ROUND($M12*IF(ISNUMBER(Eingabe!$D$33),Eingabe!$D$33,0),2))</f>
        <v/>
      </c>
      <c r="O12" s="27">
        <f>IF($D12="","",ROUND($E12*$P12,2))</f>
        <v/>
      </c>
      <c r="P12" s="27">
        <f>IF($D12="","",IFERROR(ROUND(($M12+$N12)/$E12,2),0))</f>
        <v/>
      </c>
      <c r="Q12" s="13">
        <f>IF($D12="","",IF(ISNA(MATCH($D12,Katalog_Leistung,0)),IF(OR(Eingabe!G51="",NOT(ISNUMBER(Eingabe!H51)),NOT(ISNUMBER(Eingabe!I51))),"! Freie Position: Einheit, Material und Zeit in Spalte G, H und I eintragen",IF(NOT(ISNUMBER(Eingabe!E51)),"! Menge fehlt oder ist keine Zahl",IF($E12&lt;=0,"! Menge muss größer 0 sein","OK - freie Position"))),IF(COUNTIF(Katalog_Leistung,$D12)&gt;1,"! Leistung steht mehrfach im Katalog - siehe Stammdaten",IF(INDEX(Katalog_Kategorie,MATCH($D12,Katalog_Leistung,0))&lt;&gt;$C12,"! Kategorie passt nicht zur Leistung",IF(NOT(ISNUMBER(Eingabe!E51)),"! Menge fehlt oder ist keine Zahl",IF($E12&lt;=0,"! Menge muss größer 0 sein",IF(OR(Eingabe!G51&lt;&gt;"",ISNUMBER(Eingabe!H51),ISNUMBER(Eingabe!I51)),"OK - manueller Wert überschreibt Katalog","OK")))))))</f>
        <v/>
      </c>
    </row>
    <row r="13">
      <c r="A13" s="21">
        <f>IF($D13="","",Eingabe!A52)</f>
        <v/>
      </c>
      <c r="B13" s="13">
        <f>IF($D13="","",IF(Eingabe!B52="","",Eingabe!B52))</f>
        <v/>
      </c>
      <c r="C13" s="13">
        <f>IF($D13="","",IF(Eingabe!C52="","",Eingabe!C52))</f>
        <v/>
      </c>
      <c r="D13" s="13">
        <f>IF(Eingabe!D52="","",Eingabe!D52)</f>
        <v/>
      </c>
      <c r="E13" s="26">
        <f>IF($D13="","",IF(ISNUMBER(Eingabe!E52),Eingabe!E52,0))</f>
        <v/>
      </c>
      <c r="F13" s="21">
        <f>IF($D13="","",IF(Eingabe!G52&lt;&gt;"",Eingabe!G52,IFERROR(INDEX(Katalog_Einheit,MATCH($D13,Katalog_Leistung,0)),"?")))</f>
        <v/>
      </c>
      <c r="G13" s="27">
        <f>IF($D13="","",IF(ISNUMBER(Eingabe!H52),Eingabe!H52,IFERROR(INDEX(Katalog_Material,MATCH($D13,Katalog_Leistung,0)),0)*(1+IF(ISNUMBER(Eingabe!$D$39),Eingabe!$D$39,0))))</f>
        <v/>
      </c>
      <c r="H13" s="28">
        <f>IF($D13="","",IF(ISNUMBER(Eingabe!I52),Eingabe!I52,IFERROR(INDEX(Katalog_Zeit,MATCH($D13,Katalog_Leistung,0)),0)))</f>
        <v/>
      </c>
      <c r="I13" s="27">
        <f>IF($D13="","",ROUND($E13*$G13,2))</f>
        <v/>
      </c>
      <c r="J13" s="27">
        <f>IF($D13="","",ROUND($I13*IF(ISNUMBER(Eingabe!$D$32),Eingabe!$D$32,0),2))</f>
        <v/>
      </c>
      <c r="K13" s="28">
        <f>IF($D13="","",$E13*$H13)</f>
        <v/>
      </c>
      <c r="L13" s="27">
        <f>IF($D13="","",ROUND($K13*IF(ISNUMBER(Eingabe!$D$31),Eingabe!$D$31,0),2))</f>
        <v/>
      </c>
      <c r="M13" s="27">
        <f>IF($D13="","",$I13+$J13+$L13)</f>
        <v/>
      </c>
      <c r="N13" s="27">
        <f>IF($D13="","",ROUND($M13*IF(ISNUMBER(Eingabe!$D$33),Eingabe!$D$33,0),2))</f>
        <v/>
      </c>
      <c r="O13" s="27">
        <f>IF($D13="","",ROUND($E13*$P13,2))</f>
        <v/>
      </c>
      <c r="P13" s="27">
        <f>IF($D13="","",IFERROR(ROUND(($M13+$N13)/$E13,2),0))</f>
        <v/>
      </c>
      <c r="Q13" s="13">
        <f>IF($D13="","",IF(ISNA(MATCH($D13,Katalog_Leistung,0)),IF(OR(Eingabe!G52="",NOT(ISNUMBER(Eingabe!H52)),NOT(ISNUMBER(Eingabe!I52))),"! Freie Position: Einheit, Material und Zeit in Spalte G, H und I eintragen",IF(NOT(ISNUMBER(Eingabe!E52)),"! Menge fehlt oder ist keine Zahl",IF($E13&lt;=0,"! Menge muss größer 0 sein","OK - freie Position"))),IF(COUNTIF(Katalog_Leistung,$D13)&gt;1,"! Leistung steht mehrfach im Katalog - siehe Stammdaten",IF(INDEX(Katalog_Kategorie,MATCH($D13,Katalog_Leistung,0))&lt;&gt;$C13,"! Kategorie passt nicht zur Leistung",IF(NOT(ISNUMBER(Eingabe!E52)),"! Menge fehlt oder ist keine Zahl",IF($E13&lt;=0,"! Menge muss größer 0 sein",IF(OR(Eingabe!G52&lt;&gt;"",ISNUMBER(Eingabe!H52),ISNUMBER(Eingabe!I52)),"OK - manueller Wert überschreibt Katalog","OK")))))))</f>
        <v/>
      </c>
    </row>
    <row r="14">
      <c r="A14" s="21">
        <f>IF($D14="","",Eingabe!A53)</f>
        <v/>
      </c>
      <c r="B14" s="13">
        <f>IF($D14="","",IF(Eingabe!B53="","",Eingabe!B53))</f>
        <v/>
      </c>
      <c r="C14" s="13">
        <f>IF($D14="","",IF(Eingabe!C53="","",Eingabe!C53))</f>
        <v/>
      </c>
      <c r="D14" s="13">
        <f>IF(Eingabe!D53="","",Eingabe!D53)</f>
        <v/>
      </c>
      <c r="E14" s="26">
        <f>IF($D14="","",IF(ISNUMBER(Eingabe!E53),Eingabe!E53,0))</f>
        <v/>
      </c>
      <c r="F14" s="21">
        <f>IF($D14="","",IF(Eingabe!G53&lt;&gt;"",Eingabe!G53,IFERROR(INDEX(Katalog_Einheit,MATCH($D14,Katalog_Leistung,0)),"?")))</f>
        <v/>
      </c>
      <c r="G14" s="27">
        <f>IF($D14="","",IF(ISNUMBER(Eingabe!H53),Eingabe!H53,IFERROR(INDEX(Katalog_Material,MATCH($D14,Katalog_Leistung,0)),0)*(1+IF(ISNUMBER(Eingabe!$D$39),Eingabe!$D$39,0))))</f>
        <v/>
      </c>
      <c r="H14" s="28">
        <f>IF($D14="","",IF(ISNUMBER(Eingabe!I53),Eingabe!I53,IFERROR(INDEX(Katalog_Zeit,MATCH($D14,Katalog_Leistung,0)),0)))</f>
        <v/>
      </c>
      <c r="I14" s="27">
        <f>IF($D14="","",ROUND($E14*$G14,2))</f>
        <v/>
      </c>
      <c r="J14" s="27">
        <f>IF($D14="","",ROUND($I14*IF(ISNUMBER(Eingabe!$D$32),Eingabe!$D$32,0),2))</f>
        <v/>
      </c>
      <c r="K14" s="28">
        <f>IF($D14="","",$E14*$H14)</f>
        <v/>
      </c>
      <c r="L14" s="27">
        <f>IF($D14="","",ROUND($K14*IF(ISNUMBER(Eingabe!$D$31),Eingabe!$D$31,0),2))</f>
        <v/>
      </c>
      <c r="M14" s="27">
        <f>IF($D14="","",$I14+$J14+$L14)</f>
        <v/>
      </c>
      <c r="N14" s="27">
        <f>IF($D14="","",ROUND($M14*IF(ISNUMBER(Eingabe!$D$33),Eingabe!$D$33,0),2))</f>
        <v/>
      </c>
      <c r="O14" s="27">
        <f>IF($D14="","",ROUND($E14*$P14,2))</f>
        <v/>
      </c>
      <c r="P14" s="27">
        <f>IF($D14="","",IFERROR(ROUND(($M14+$N14)/$E14,2),0))</f>
        <v/>
      </c>
      <c r="Q14" s="13">
        <f>IF($D14="","",IF(ISNA(MATCH($D14,Katalog_Leistung,0)),IF(OR(Eingabe!G53="",NOT(ISNUMBER(Eingabe!H53)),NOT(ISNUMBER(Eingabe!I53))),"! Freie Position: Einheit, Material und Zeit in Spalte G, H und I eintragen",IF(NOT(ISNUMBER(Eingabe!E53)),"! Menge fehlt oder ist keine Zahl",IF($E14&lt;=0,"! Menge muss größer 0 sein","OK - freie Position"))),IF(COUNTIF(Katalog_Leistung,$D14)&gt;1,"! Leistung steht mehrfach im Katalog - siehe Stammdaten",IF(INDEX(Katalog_Kategorie,MATCH($D14,Katalog_Leistung,0))&lt;&gt;$C14,"! Kategorie passt nicht zur Leistung",IF(NOT(ISNUMBER(Eingabe!E53)),"! Menge fehlt oder ist keine Zahl",IF($E14&lt;=0,"! Menge muss größer 0 sein",IF(OR(Eingabe!G53&lt;&gt;"",ISNUMBER(Eingabe!H53),ISNUMBER(Eingabe!I53)),"OK - manueller Wert überschreibt Katalog","OK")))))))</f>
        <v/>
      </c>
    </row>
    <row r="15">
      <c r="A15" s="21">
        <f>IF($D15="","",Eingabe!A54)</f>
        <v/>
      </c>
      <c r="B15" s="13">
        <f>IF($D15="","",IF(Eingabe!B54="","",Eingabe!B54))</f>
        <v/>
      </c>
      <c r="C15" s="13">
        <f>IF($D15="","",IF(Eingabe!C54="","",Eingabe!C54))</f>
        <v/>
      </c>
      <c r="D15" s="13">
        <f>IF(Eingabe!D54="","",Eingabe!D54)</f>
        <v/>
      </c>
      <c r="E15" s="26">
        <f>IF($D15="","",IF(ISNUMBER(Eingabe!E54),Eingabe!E54,0))</f>
        <v/>
      </c>
      <c r="F15" s="21">
        <f>IF($D15="","",IF(Eingabe!G54&lt;&gt;"",Eingabe!G54,IFERROR(INDEX(Katalog_Einheit,MATCH($D15,Katalog_Leistung,0)),"?")))</f>
        <v/>
      </c>
      <c r="G15" s="27">
        <f>IF($D15="","",IF(ISNUMBER(Eingabe!H54),Eingabe!H54,IFERROR(INDEX(Katalog_Material,MATCH($D15,Katalog_Leistung,0)),0)*(1+IF(ISNUMBER(Eingabe!$D$39),Eingabe!$D$39,0))))</f>
        <v/>
      </c>
      <c r="H15" s="28">
        <f>IF($D15="","",IF(ISNUMBER(Eingabe!I54),Eingabe!I54,IFERROR(INDEX(Katalog_Zeit,MATCH($D15,Katalog_Leistung,0)),0)))</f>
        <v/>
      </c>
      <c r="I15" s="27">
        <f>IF($D15="","",ROUND($E15*$G15,2))</f>
        <v/>
      </c>
      <c r="J15" s="27">
        <f>IF($D15="","",ROUND($I15*IF(ISNUMBER(Eingabe!$D$32),Eingabe!$D$32,0),2))</f>
        <v/>
      </c>
      <c r="K15" s="28">
        <f>IF($D15="","",$E15*$H15)</f>
        <v/>
      </c>
      <c r="L15" s="27">
        <f>IF($D15="","",ROUND($K15*IF(ISNUMBER(Eingabe!$D$31),Eingabe!$D$31,0),2))</f>
        <v/>
      </c>
      <c r="M15" s="27">
        <f>IF($D15="","",$I15+$J15+$L15)</f>
        <v/>
      </c>
      <c r="N15" s="27">
        <f>IF($D15="","",ROUND($M15*IF(ISNUMBER(Eingabe!$D$33),Eingabe!$D$33,0),2))</f>
        <v/>
      </c>
      <c r="O15" s="27">
        <f>IF($D15="","",ROUND($E15*$P15,2))</f>
        <v/>
      </c>
      <c r="P15" s="27">
        <f>IF($D15="","",IFERROR(ROUND(($M15+$N15)/$E15,2),0))</f>
        <v/>
      </c>
      <c r="Q15" s="13">
        <f>IF($D15="","",IF(ISNA(MATCH($D15,Katalog_Leistung,0)),IF(OR(Eingabe!G54="",NOT(ISNUMBER(Eingabe!H54)),NOT(ISNUMBER(Eingabe!I54))),"! Freie Position: Einheit, Material und Zeit in Spalte G, H und I eintragen",IF(NOT(ISNUMBER(Eingabe!E54)),"! Menge fehlt oder ist keine Zahl",IF($E15&lt;=0,"! Menge muss größer 0 sein","OK - freie Position"))),IF(COUNTIF(Katalog_Leistung,$D15)&gt;1,"! Leistung steht mehrfach im Katalog - siehe Stammdaten",IF(INDEX(Katalog_Kategorie,MATCH($D15,Katalog_Leistung,0))&lt;&gt;$C15,"! Kategorie passt nicht zur Leistung",IF(NOT(ISNUMBER(Eingabe!E54)),"! Menge fehlt oder ist keine Zahl",IF($E15&lt;=0,"! Menge muss größer 0 sein",IF(OR(Eingabe!G54&lt;&gt;"",ISNUMBER(Eingabe!H54),ISNUMBER(Eingabe!I54)),"OK - manueller Wert überschreibt Katalog","OK")))))))</f>
        <v/>
      </c>
    </row>
    <row r="16">
      <c r="A16" s="21">
        <f>IF($D16="","",Eingabe!A55)</f>
        <v/>
      </c>
      <c r="B16" s="13">
        <f>IF($D16="","",IF(Eingabe!B55="","",Eingabe!B55))</f>
        <v/>
      </c>
      <c r="C16" s="13">
        <f>IF($D16="","",IF(Eingabe!C55="","",Eingabe!C55))</f>
        <v/>
      </c>
      <c r="D16" s="13">
        <f>IF(Eingabe!D55="","",Eingabe!D55)</f>
        <v/>
      </c>
      <c r="E16" s="26">
        <f>IF($D16="","",IF(ISNUMBER(Eingabe!E55),Eingabe!E55,0))</f>
        <v/>
      </c>
      <c r="F16" s="21">
        <f>IF($D16="","",IF(Eingabe!G55&lt;&gt;"",Eingabe!G55,IFERROR(INDEX(Katalog_Einheit,MATCH($D16,Katalog_Leistung,0)),"?")))</f>
        <v/>
      </c>
      <c r="G16" s="27">
        <f>IF($D16="","",IF(ISNUMBER(Eingabe!H55),Eingabe!H55,IFERROR(INDEX(Katalog_Material,MATCH($D16,Katalog_Leistung,0)),0)*(1+IF(ISNUMBER(Eingabe!$D$39),Eingabe!$D$39,0))))</f>
        <v/>
      </c>
      <c r="H16" s="28">
        <f>IF($D16="","",IF(ISNUMBER(Eingabe!I55),Eingabe!I55,IFERROR(INDEX(Katalog_Zeit,MATCH($D16,Katalog_Leistung,0)),0)))</f>
        <v/>
      </c>
      <c r="I16" s="27">
        <f>IF($D16="","",ROUND($E16*$G16,2))</f>
        <v/>
      </c>
      <c r="J16" s="27">
        <f>IF($D16="","",ROUND($I16*IF(ISNUMBER(Eingabe!$D$32),Eingabe!$D$32,0),2))</f>
        <v/>
      </c>
      <c r="K16" s="28">
        <f>IF($D16="","",$E16*$H16)</f>
        <v/>
      </c>
      <c r="L16" s="27">
        <f>IF($D16="","",ROUND($K16*IF(ISNUMBER(Eingabe!$D$31),Eingabe!$D$31,0),2))</f>
        <v/>
      </c>
      <c r="M16" s="27">
        <f>IF($D16="","",$I16+$J16+$L16)</f>
        <v/>
      </c>
      <c r="N16" s="27">
        <f>IF($D16="","",ROUND($M16*IF(ISNUMBER(Eingabe!$D$33),Eingabe!$D$33,0),2))</f>
        <v/>
      </c>
      <c r="O16" s="27">
        <f>IF($D16="","",ROUND($E16*$P16,2))</f>
        <v/>
      </c>
      <c r="P16" s="27">
        <f>IF($D16="","",IFERROR(ROUND(($M16+$N16)/$E16,2),0))</f>
        <v/>
      </c>
      <c r="Q16" s="13">
        <f>IF($D16="","",IF(ISNA(MATCH($D16,Katalog_Leistung,0)),IF(OR(Eingabe!G55="",NOT(ISNUMBER(Eingabe!H55)),NOT(ISNUMBER(Eingabe!I55))),"! Freie Position: Einheit, Material und Zeit in Spalte G, H und I eintragen",IF(NOT(ISNUMBER(Eingabe!E55)),"! Menge fehlt oder ist keine Zahl",IF($E16&lt;=0,"! Menge muss größer 0 sein","OK - freie Position"))),IF(COUNTIF(Katalog_Leistung,$D16)&gt;1,"! Leistung steht mehrfach im Katalog - siehe Stammdaten",IF(INDEX(Katalog_Kategorie,MATCH($D16,Katalog_Leistung,0))&lt;&gt;$C16,"! Kategorie passt nicht zur Leistung",IF(NOT(ISNUMBER(Eingabe!E55)),"! Menge fehlt oder ist keine Zahl",IF($E16&lt;=0,"! Menge muss größer 0 sein",IF(OR(Eingabe!G55&lt;&gt;"",ISNUMBER(Eingabe!H55),ISNUMBER(Eingabe!I55)),"OK - manueller Wert überschreibt Katalog","OK")))))))</f>
        <v/>
      </c>
    </row>
    <row r="17">
      <c r="A17" s="21">
        <f>IF($D17="","",Eingabe!A56)</f>
        <v/>
      </c>
      <c r="B17" s="13">
        <f>IF($D17="","",IF(Eingabe!B56="","",Eingabe!B56))</f>
        <v/>
      </c>
      <c r="C17" s="13">
        <f>IF($D17="","",IF(Eingabe!C56="","",Eingabe!C56))</f>
        <v/>
      </c>
      <c r="D17" s="13">
        <f>IF(Eingabe!D56="","",Eingabe!D56)</f>
        <v/>
      </c>
      <c r="E17" s="26">
        <f>IF($D17="","",IF(ISNUMBER(Eingabe!E56),Eingabe!E56,0))</f>
        <v/>
      </c>
      <c r="F17" s="21">
        <f>IF($D17="","",IF(Eingabe!G56&lt;&gt;"",Eingabe!G56,IFERROR(INDEX(Katalog_Einheit,MATCH($D17,Katalog_Leistung,0)),"?")))</f>
        <v/>
      </c>
      <c r="G17" s="27">
        <f>IF($D17="","",IF(ISNUMBER(Eingabe!H56),Eingabe!H56,IFERROR(INDEX(Katalog_Material,MATCH($D17,Katalog_Leistung,0)),0)*(1+IF(ISNUMBER(Eingabe!$D$39),Eingabe!$D$39,0))))</f>
        <v/>
      </c>
      <c r="H17" s="28">
        <f>IF($D17="","",IF(ISNUMBER(Eingabe!I56),Eingabe!I56,IFERROR(INDEX(Katalog_Zeit,MATCH($D17,Katalog_Leistung,0)),0)))</f>
        <v/>
      </c>
      <c r="I17" s="27">
        <f>IF($D17="","",ROUND($E17*$G17,2))</f>
        <v/>
      </c>
      <c r="J17" s="27">
        <f>IF($D17="","",ROUND($I17*IF(ISNUMBER(Eingabe!$D$32),Eingabe!$D$32,0),2))</f>
        <v/>
      </c>
      <c r="K17" s="28">
        <f>IF($D17="","",$E17*$H17)</f>
        <v/>
      </c>
      <c r="L17" s="27">
        <f>IF($D17="","",ROUND($K17*IF(ISNUMBER(Eingabe!$D$31),Eingabe!$D$31,0),2))</f>
        <v/>
      </c>
      <c r="M17" s="27">
        <f>IF($D17="","",$I17+$J17+$L17)</f>
        <v/>
      </c>
      <c r="N17" s="27">
        <f>IF($D17="","",ROUND($M17*IF(ISNUMBER(Eingabe!$D$33),Eingabe!$D$33,0),2))</f>
        <v/>
      </c>
      <c r="O17" s="27">
        <f>IF($D17="","",ROUND($E17*$P17,2))</f>
        <v/>
      </c>
      <c r="P17" s="27">
        <f>IF($D17="","",IFERROR(ROUND(($M17+$N17)/$E17,2),0))</f>
        <v/>
      </c>
      <c r="Q17" s="13">
        <f>IF($D17="","",IF(ISNA(MATCH($D17,Katalog_Leistung,0)),IF(OR(Eingabe!G56="",NOT(ISNUMBER(Eingabe!H56)),NOT(ISNUMBER(Eingabe!I56))),"! Freie Position: Einheit, Material und Zeit in Spalte G, H und I eintragen",IF(NOT(ISNUMBER(Eingabe!E56)),"! Menge fehlt oder ist keine Zahl",IF($E17&lt;=0,"! Menge muss größer 0 sein","OK - freie Position"))),IF(COUNTIF(Katalog_Leistung,$D17)&gt;1,"! Leistung steht mehrfach im Katalog - siehe Stammdaten",IF(INDEX(Katalog_Kategorie,MATCH($D17,Katalog_Leistung,0))&lt;&gt;$C17,"! Kategorie passt nicht zur Leistung",IF(NOT(ISNUMBER(Eingabe!E56)),"! Menge fehlt oder ist keine Zahl",IF($E17&lt;=0,"! Menge muss größer 0 sein",IF(OR(Eingabe!G56&lt;&gt;"",ISNUMBER(Eingabe!H56),ISNUMBER(Eingabe!I56)),"OK - manueller Wert überschreibt Katalog","OK")))))))</f>
        <v/>
      </c>
    </row>
    <row r="18">
      <c r="A18" s="21">
        <f>IF($D18="","",Eingabe!A57)</f>
        <v/>
      </c>
      <c r="B18" s="13">
        <f>IF($D18="","",IF(Eingabe!B57="","",Eingabe!B57))</f>
        <v/>
      </c>
      <c r="C18" s="13">
        <f>IF($D18="","",IF(Eingabe!C57="","",Eingabe!C57))</f>
        <v/>
      </c>
      <c r="D18" s="13">
        <f>IF(Eingabe!D57="","",Eingabe!D57)</f>
        <v/>
      </c>
      <c r="E18" s="26">
        <f>IF($D18="","",IF(ISNUMBER(Eingabe!E57),Eingabe!E57,0))</f>
        <v/>
      </c>
      <c r="F18" s="21">
        <f>IF($D18="","",IF(Eingabe!G57&lt;&gt;"",Eingabe!G57,IFERROR(INDEX(Katalog_Einheit,MATCH($D18,Katalog_Leistung,0)),"?")))</f>
        <v/>
      </c>
      <c r="G18" s="27">
        <f>IF($D18="","",IF(ISNUMBER(Eingabe!H57),Eingabe!H57,IFERROR(INDEX(Katalog_Material,MATCH($D18,Katalog_Leistung,0)),0)*(1+IF(ISNUMBER(Eingabe!$D$39),Eingabe!$D$39,0))))</f>
        <v/>
      </c>
      <c r="H18" s="28">
        <f>IF($D18="","",IF(ISNUMBER(Eingabe!I57),Eingabe!I57,IFERROR(INDEX(Katalog_Zeit,MATCH($D18,Katalog_Leistung,0)),0)))</f>
        <v/>
      </c>
      <c r="I18" s="27">
        <f>IF($D18="","",ROUND($E18*$G18,2))</f>
        <v/>
      </c>
      <c r="J18" s="27">
        <f>IF($D18="","",ROUND($I18*IF(ISNUMBER(Eingabe!$D$32),Eingabe!$D$32,0),2))</f>
        <v/>
      </c>
      <c r="K18" s="28">
        <f>IF($D18="","",$E18*$H18)</f>
        <v/>
      </c>
      <c r="L18" s="27">
        <f>IF($D18="","",ROUND($K18*IF(ISNUMBER(Eingabe!$D$31),Eingabe!$D$31,0),2))</f>
        <v/>
      </c>
      <c r="M18" s="27">
        <f>IF($D18="","",$I18+$J18+$L18)</f>
        <v/>
      </c>
      <c r="N18" s="27">
        <f>IF($D18="","",ROUND($M18*IF(ISNUMBER(Eingabe!$D$33),Eingabe!$D$33,0),2))</f>
        <v/>
      </c>
      <c r="O18" s="27">
        <f>IF($D18="","",ROUND($E18*$P18,2))</f>
        <v/>
      </c>
      <c r="P18" s="27">
        <f>IF($D18="","",IFERROR(ROUND(($M18+$N18)/$E18,2),0))</f>
        <v/>
      </c>
      <c r="Q18" s="13">
        <f>IF($D18="","",IF(ISNA(MATCH($D18,Katalog_Leistung,0)),IF(OR(Eingabe!G57="",NOT(ISNUMBER(Eingabe!H57)),NOT(ISNUMBER(Eingabe!I57))),"! Freie Position: Einheit, Material und Zeit in Spalte G, H und I eintragen",IF(NOT(ISNUMBER(Eingabe!E57)),"! Menge fehlt oder ist keine Zahl",IF($E18&lt;=0,"! Menge muss größer 0 sein","OK - freie Position"))),IF(COUNTIF(Katalog_Leistung,$D18)&gt;1,"! Leistung steht mehrfach im Katalog - siehe Stammdaten",IF(INDEX(Katalog_Kategorie,MATCH($D18,Katalog_Leistung,0))&lt;&gt;$C18,"! Kategorie passt nicht zur Leistung",IF(NOT(ISNUMBER(Eingabe!E57)),"! Menge fehlt oder ist keine Zahl",IF($E18&lt;=0,"! Menge muss größer 0 sein",IF(OR(Eingabe!G57&lt;&gt;"",ISNUMBER(Eingabe!H57),ISNUMBER(Eingabe!I57)),"OK - manueller Wert überschreibt Katalog","OK")))))))</f>
        <v/>
      </c>
    </row>
    <row r="19">
      <c r="A19" s="21">
        <f>IF($D19="","",Eingabe!A58)</f>
        <v/>
      </c>
      <c r="B19" s="13">
        <f>IF($D19="","",IF(Eingabe!B58="","",Eingabe!B58))</f>
        <v/>
      </c>
      <c r="C19" s="13">
        <f>IF($D19="","",IF(Eingabe!C58="","",Eingabe!C58))</f>
        <v/>
      </c>
      <c r="D19" s="13">
        <f>IF(Eingabe!D58="","",Eingabe!D58)</f>
        <v/>
      </c>
      <c r="E19" s="26">
        <f>IF($D19="","",IF(ISNUMBER(Eingabe!E58),Eingabe!E58,0))</f>
        <v/>
      </c>
      <c r="F19" s="21">
        <f>IF($D19="","",IF(Eingabe!G58&lt;&gt;"",Eingabe!G58,IFERROR(INDEX(Katalog_Einheit,MATCH($D19,Katalog_Leistung,0)),"?")))</f>
        <v/>
      </c>
      <c r="G19" s="27">
        <f>IF($D19="","",IF(ISNUMBER(Eingabe!H58),Eingabe!H58,IFERROR(INDEX(Katalog_Material,MATCH($D19,Katalog_Leistung,0)),0)*(1+IF(ISNUMBER(Eingabe!$D$39),Eingabe!$D$39,0))))</f>
        <v/>
      </c>
      <c r="H19" s="28">
        <f>IF($D19="","",IF(ISNUMBER(Eingabe!I58),Eingabe!I58,IFERROR(INDEX(Katalog_Zeit,MATCH($D19,Katalog_Leistung,0)),0)))</f>
        <v/>
      </c>
      <c r="I19" s="27">
        <f>IF($D19="","",ROUND($E19*$G19,2))</f>
        <v/>
      </c>
      <c r="J19" s="27">
        <f>IF($D19="","",ROUND($I19*IF(ISNUMBER(Eingabe!$D$32),Eingabe!$D$32,0),2))</f>
        <v/>
      </c>
      <c r="K19" s="28">
        <f>IF($D19="","",$E19*$H19)</f>
        <v/>
      </c>
      <c r="L19" s="27">
        <f>IF($D19="","",ROUND($K19*IF(ISNUMBER(Eingabe!$D$31),Eingabe!$D$31,0),2))</f>
        <v/>
      </c>
      <c r="M19" s="27">
        <f>IF($D19="","",$I19+$J19+$L19)</f>
        <v/>
      </c>
      <c r="N19" s="27">
        <f>IF($D19="","",ROUND($M19*IF(ISNUMBER(Eingabe!$D$33),Eingabe!$D$33,0),2))</f>
        <v/>
      </c>
      <c r="O19" s="27">
        <f>IF($D19="","",ROUND($E19*$P19,2))</f>
        <v/>
      </c>
      <c r="P19" s="27">
        <f>IF($D19="","",IFERROR(ROUND(($M19+$N19)/$E19,2),0))</f>
        <v/>
      </c>
      <c r="Q19" s="13">
        <f>IF($D19="","",IF(ISNA(MATCH($D19,Katalog_Leistung,0)),IF(OR(Eingabe!G58="",NOT(ISNUMBER(Eingabe!H58)),NOT(ISNUMBER(Eingabe!I58))),"! Freie Position: Einheit, Material und Zeit in Spalte G, H und I eintragen",IF(NOT(ISNUMBER(Eingabe!E58)),"! Menge fehlt oder ist keine Zahl",IF($E19&lt;=0,"! Menge muss größer 0 sein","OK - freie Position"))),IF(COUNTIF(Katalog_Leistung,$D19)&gt;1,"! Leistung steht mehrfach im Katalog - siehe Stammdaten",IF(INDEX(Katalog_Kategorie,MATCH($D19,Katalog_Leistung,0))&lt;&gt;$C19,"! Kategorie passt nicht zur Leistung",IF(NOT(ISNUMBER(Eingabe!E58)),"! Menge fehlt oder ist keine Zahl",IF($E19&lt;=0,"! Menge muss größer 0 sein",IF(OR(Eingabe!G58&lt;&gt;"",ISNUMBER(Eingabe!H58),ISNUMBER(Eingabe!I58)),"OK - manueller Wert überschreibt Katalog","OK")))))))</f>
        <v/>
      </c>
    </row>
    <row r="20">
      <c r="A20" s="21">
        <f>IF($D20="","",Eingabe!A59)</f>
        <v/>
      </c>
      <c r="B20" s="13">
        <f>IF($D20="","",IF(Eingabe!B59="","",Eingabe!B59))</f>
        <v/>
      </c>
      <c r="C20" s="13">
        <f>IF($D20="","",IF(Eingabe!C59="","",Eingabe!C59))</f>
        <v/>
      </c>
      <c r="D20" s="13">
        <f>IF(Eingabe!D59="","",Eingabe!D59)</f>
        <v/>
      </c>
      <c r="E20" s="26">
        <f>IF($D20="","",IF(ISNUMBER(Eingabe!E59),Eingabe!E59,0))</f>
        <v/>
      </c>
      <c r="F20" s="21">
        <f>IF($D20="","",IF(Eingabe!G59&lt;&gt;"",Eingabe!G59,IFERROR(INDEX(Katalog_Einheit,MATCH($D20,Katalog_Leistung,0)),"?")))</f>
        <v/>
      </c>
      <c r="G20" s="27">
        <f>IF($D20="","",IF(ISNUMBER(Eingabe!H59),Eingabe!H59,IFERROR(INDEX(Katalog_Material,MATCH($D20,Katalog_Leistung,0)),0)*(1+IF(ISNUMBER(Eingabe!$D$39),Eingabe!$D$39,0))))</f>
        <v/>
      </c>
      <c r="H20" s="28">
        <f>IF($D20="","",IF(ISNUMBER(Eingabe!I59),Eingabe!I59,IFERROR(INDEX(Katalog_Zeit,MATCH($D20,Katalog_Leistung,0)),0)))</f>
        <v/>
      </c>
      <c r="I20" s="27">
        <f>IF($D20="","",ROUND($E20*$G20,2))</f>
        <v/>
      </c>
      <c r="J20" s="27">
        <f>IF($D20="","",ROUND($I20*IF(ISNUMBER(Eingabe!$D$32),Eingabe!$D$32,0),2))</f>
        <v/>
      </c>
      <c r="K20" s="28">
        <f>IF($D20="","",$E20*$H20)</f>
        <v/>
      </c>
      <c r="L20" s="27">
        <f>IF($D20="","",ROUND($K20*IF(ISNUMBER(Eingabe!$D$31),Eingabe!$D$31,0),2))</f>
        <v/>
      </c>
      <c r="M20" s="27">
        <f>IF($D20="","",$I20+$J20+$L20)</f>
        <v/>
      </c>
      <c r="N20" s="27">
        <f>IF($D20="","",ROUND($M20*IF(ISNUMBER(Eingabe!$D$33),Eingabe!$D$33,0),2))</f>
        <v/>
      </c>
      <c r="O20" s="27">
        <f>IF($D20="","",ROUND($E20*$P20,2))</f>
        <v/>
      </c>
      <c r="P20" s="27">
        <f>IF($D20="","",IFERROR(ROUND(($M20+$N20)/$E20,2),0))</f>
        <v/>
      </c>
      <c r="Q20" s="13">
        <f>IF($D20="","",IF(ISNA(MATCH($D20,Katalog_Leistung,0)),IF(OR(Eingabe!G59="",NOT(ISNUMBER(Eingabe!H59)),NOT(ISNUMBER(Eingabe!I59))),"! Freie Position: Einheit, Material und Zeit in Spalte G, H und I eintragen",IF(NOT(ISNUMBER(Eingabe!E59)),"! Menge fehlt oder ist keine Zahl",IF($E20&lt;=0,"! Menge muss größer 0 sein","OK - freie Position"))),IF(COUNTIF(Katalog_Leistung,$D20)&gt;1,"! Leistung steht mehrfach im Katalog - siehe Stammdaten",IF(INDEX(Katalog_Kategorie,MATCH($D20,Katalog_Leistung,0))&lt;&gt;$C20,"! Kategorie passt nicht zur Leistung",IF(NOT(ISNUMBER(Eingabe!E59)),"! Menge fehlt oder ist keine Zahl",IF($E20&lt;=0,"! Menge muss größer 0 sein",IF(OR(Eingabe!G59&lt;&gt;"",ISNUMBER(Eingabe!H59),ISNUMBER(Eingabe!I59)),"OK - manueller Wert überschreibt Katalog","OK")))))))</f>
        <v/>
      </c>
    </row>
    <row r="21">
      <c r="A21" s="21">
        <f>IF($D21="","",Eingabe!A60)</f>
        <v/>
      </c>
      <c r="B21" s="13">
        <f>IF($D21="","",IF(Eingabe!B60="","",Eingabe!B60))</f>
        <v/>
      </c>
      <c r="C21" s="13">
        <f>IF($D21="","",IF(Eingabe!C60="","",Eingabe!C60))</f>
        <v/>
      </c>
      <c r="D21" s="13">
        <f>IF(Eingabe!D60="","",Eingabe!D60)</f>
        <v/>
      </c>
      <c r="E21" s="26">
        <f>IF($D21="","",IF(ISNUMBER(Eingabe!E60),Eingabe!E60,0))</f>
        <v/>
      </c>
      <c r="F21" s="21">
        <f>IF($D21="","",IF(Eingabe!G60&lt;&gt;"",Eingabe!G60,IFERROR(INDEX(Katalog_Einheit,MATCH($D21,Katalog_Leistung,0)),"?")))</f>
        <v/>
      </c>
      <c r="G21" s="27">
        <f>IF($D21="","",IF(ISNUMBER(Eingabe!H60),Eingabe!H60,IFERROR(INDEX(Katalog_Material,MATCH($D21,Katalog_Leistung,0)),0)*(1+IF(ISNUMBER(Eingabe!$D$39),Eingabe!$D$39,0))))</f>
        <v/>
      </c>
      <c r="H21" s="28">
        <f>IF($D21="","",IF(ISNUMBER(Eingabe!I60),Eingabe!I60,IFERROR(INDEX(Katalog_Zeit,MATCH($D21,Katalog_Leistung,0)),0)))</f>
        <v/>
      </c>
      <c r="I21" s="27">
        <f>IF($D21="","",ROUND($E21*$G21,2))</f>
        <v/>
      </c>
      <c r="J21" s="27">
        <f>IF($D21="","",ROUND($I21*IF(ISNUMBER(Eingabe!$D$32),Eingabe!$D$32,0),2))</f>
        <v/>
      </c>
      <c r="K21" s="28">
        <f>IF($D21="","",$E21*$H21)</f>
        <v/>
      </c>
      <c r="L21" s="27">
        <f>IF($D21="","",ROUND($K21*IF(ISNUMBER(Eingabe!$D$31),Eingabe!$D$31,0),2))</f>
        <v/>
      </c>
      <c r="M21" s="27">
        <f>IF($D21="","",$I21+$J21+$L21)</f>
        <v/>
      </c>
      <c r="N21" s="27">
        <f>IF($D21="","",ROUND($M21*IF(ISNUMBER(Eingabe!$D$33),Eingabe!$D$33,0),2))</f>
        <v/>
      </c>
      <c r="O21" s="27">
        <f>IF($D21="","",ROUND($E21*$P21,2))</f>
        <v/>
      </c>
      <c r="P21" s="27">
        <f>IF($D21="","",IFERROR(ROUND(($M21+$N21)/$E21,2),0))</f>
        <v/>
      </c>
      <c r="Q21" s="13">
        <f>IF($D21="","",IF(ISNA(MATCH($D21,Katalog_Leistung,0)),IF(OR(Eingabe!G60="",NOT(ISNUMBER(Eingabe!H60)),NOT(ISNUMBER(Eingabe!I60))),"! Freie Position: Einheit, Material und Zeit in Spalte G, H und I eintragen",IF(NOT(ISNUMBER(Eingabe!E60)),"! Menge fehlt oder ist keine Zahl",IF($E21&lt;=0,"! Menge muss größer 0 sein","OK - freie Position"))),IF(COUNTIF(Katalog_Leistung,$D21)&gt;1,"! Leistung steht mehrfach im Katalog - siehe Stammdaten",IF(INDEX(Katalog_Kategorie,MATCH($D21,Katalog_Leistung,0))&lt;&gt;$C21,"! Kategorie passt nicht zur Leistung",IF(NOT(ISNUMBER(Eingabe!E60)),"! Menge fehlt oder ist keine Zahl",IF($E21&lt;=0,"! Menge muss größer 0 sein",IF(OR(Eingabe!G60&lt;&gt;"",ISNUMBER(Eingabe!H60),ISNUMBER(Eingabe!I60)),"OK - manueller Wert überschreibt Katalog","OK")))))))</f>
        <v/>
      </c>
    </row>
    <row r="22">
      <c r="A22" s="21">
        <f>IF($D22="","",Eingabe!A61)</f>
        <v/>
      </c>
      <c r="B22" s="13">
        <f>IF($D22="","",IF(Eingabe!B61="","",Eingabe!B61))</f>
        <v/>
      </c>
      <c r="C22" s="13">
        <f>IF($D22="","",IF(Eingabe!C61="","",Eingabe!C61))</f>
        <v/>
      </c>
      <c r="D22" s="13">
        <f>IF(Eingabe!D61="","",Eingabe!D61)</f>
        <v/>
      </c>
      <c r="E22" s="26">
        <f>IF($D22="","",IF(ISNUMBER(Eingabe!E61),Eingabe!E61,0))</f>
        <v/>
      </c>
      <c r="F22" s="21">
        <f>IF($D22="","",IF(Eingabe!G61&lt;&gt;"",Eingabe!G61,IFERROR(INDEX(Katalog_Einheit,MATCH($D22,Katalog_Leistung,0)),"?")))</f>
        <v/>
      </c>
      <c r="G22" s="27">
        <f>IF($D22="","",IF(ISNUMBER(Eingabe!H61),Eingabe!H61,IFERROR(INDEX(Katalog_Material,MATCH($D22,Katalog_Leistung,0)),0)*(1+IF(ISNUMBER(Eingabe!$D$39),Eingabe!$D$39,0))))</f>
        <v/>
      </c>
      <c r="H22" s="28">
        <f>IF($D22="","",IF(ISNUMBER(Eingabe!I61),Eingabe!I61,IFERROR(INDEX(Katalog_Zeit,MATCH($D22,Katalog_Leistung,0)),0)))</f>
        <v/>
      </c>
      <c r="I22" s="27">
        <f>IF($D22="","",ROUND($E22*$G22,2))</f>
        <v/>
      </c>
      <c r="J22" s="27">
        <f>IF($D22="","",ROUND($I22*IF(ISNUMBER(Eingabe!$D$32),Eingabe!$D$32,0),2))</f>
        <v/>
      </c>
      <c r="K22" s="28">
        <f>IF($D22="","",$E22*$H22)</f>
        <v/>
      </c>
      <c r="L22" s="27">
        <f>IF($D22="","",ROUND($K22*IF(ISNUMBER(Eingabe!$D$31),Eingabe!$D$31,0),2))</f>
        <v/>
      </c>
      <c r="M22" s="27">
        <f>IF($D22="","",$I22+$J22+$L22)</f>
        <v/>
      </c>
      <c r="N22" s="27">
        <f>IF($D22="","",ROUND($M22*IF(ISNUMBER(Eingabe!$D$33),Eingabe!$D$33,0),2))</f>
        <v/>
      </c>
      <c r="O22" s="27">
        <f>IF($D22="","",ROUND($E22*$P22,2))</f>
        <v/>
      </c>
      <c r="P22" s="27">
        <f>IF($D22="","",IFERROR(ROUND(($M22+$N22)/$E22,2),0))</f>
        <v/>
      </c>
      <c r="Q22" s="13">
        <f>IF($D22="","",IF(ISNA(MATCH($D22,Katalog_Leistung,0)),IF(OR(Eingabe!G61="",NOT(ISNUMBER(Eingabe!H61)),NOT(ISNUMBER(Eingabe!I61))),"! Freie Position: Einheit, Material und Zeit in Spalte G, H und I eintragen",IF(NOT(ISNUMBER(Eingabe!E61)),"! Menge fehlt oder ist keine Zahl",IF($E22&lt;=0,"! Menge muss größer 0 sein","OK - freie Position"))),IF(COUNTIF(Katalog_Leistung,$D22)&gt;1,"! Leistung steht mehrfach im Katalog - siehe Stammdaten",IF(INDEX(Katalog_Kategorie,MATCH($D22,Katalog_Leistung,0))&lt;&gt;$C22,"! Kategorie passt nicht zur Leistung",IF(NOT(ISNUMBER(Eingabe!E61)),"! Menge fehlt oder ist keine Zahl",IF($E22&lt;=0,"! Menge muss größer 0 sein",IF(OR(Eingabe!G61&lt;&gt;"",ISNUMBER(Eingabe!H61),ISNUMBER(Eingabe!I61)),"OK - manueller Wert überschreibt Katalog","OK")))))))</f>
        <v/>
      </c>
    </row>
    <row r="23">
      <c r="A23" s="21">
        <f>IF($D23="","",Eingabe!A62)</f>
        <v/>
      </c>
      <c r="B23" s="13">
        <f>IF($D23="","",IF(Eingabe!B62="","",Eingabe!B62))</f>
        <v/>
      </c>
      <c r="C23" s="13">
        <f>IF($D23="","",IF(Eingabe!C62="","",Eingabe!C62))</f>
        <v/>
      </c>
      <c r="D23" s="13">
        <f>IF(Eingabe!D62="","",Eingabe!D62)</f>
        <v/>
      </c>
      <c r="E23" s="26">
        <f>IF($D23="","",IF(ISNUMBER(Eingabe!E62),Eingabe!E62,0))</f>
        <v/>
      </c>
      <c r="F23" s="21">
        <f>IF($D23="","",IF(Eingabe!G62&lt;&gt;"",Eingabe!G62,IFERROR(INDEX(Katalog_Einheit,MATCH($D23,Katalog_Leistung,0)),"?")))</f>
        <v/>
      </c>
      <c r="G23" s="27">
        <f>IF($D23="","",IF(ISNUMBER(Eingabe!H62),Eingabe!H62,IFERROR(INDEX(Katalog_Material,MATCH($D23,Katalog_Leistung,0)),0)*(1+IF(ISNUMBER(Eingabe!$D$39),Eingabe!$D$39,0))))</f>
        <v/>
      </c>
      <c r="H23" s="28">
        <f>IF($D23="","",IF(ISNUMBER(Eingabe!I62),Eingabe!I62,IFERROR(INDEX(Katalog_Zeit,MATCH($D23,Katalog_Leistung,0)),0)))</f>
        <v/>
      </c>
      <c r="I23" s="27">
        <f>IF($D23="","",ROUND($E23*$G23,2))</f>
        <v/>
      </c>
      <c r="J23" s="27">
        <f>IF($D23="","",ROUND($I23*IF(ISNUMBER(Eingabe!$D$32),Eingabe!$D$32,0),2))</f>
        <v/>
      </c>
      <c r="K23" s="28">
        <f>IF($D23="","",$E23*$H23)</f>
        <v/>
      </c>
      <c r="L23" s="27">
        <f>IF($D23="","",ROUND($K23*IF(ISNUMBER(Eingabe!$D$31),Eingabe!$D$31,0),2))</f>
        <v/>
      </c>
      <c r="M23" s="27">
        <f>IF($D23="","",$I23+$J23+$L23)</f>
        <v/>
      </c>
      <c r="N23" s="27">
        <f>IF($D23="","",ROUND($M23*IF(ISNUMBER(Eingabe!$D$33),Eingabe!$D$33,0),2))</f>
        <v/>
      </c>
      <c r="O23" s="27">
        <f>IF($D23="","",ROUND($E23*$P23,2))</f>
        <v/>
      </c>
      <c r="P23" s="27">
        <f>IF($D23="","",IFERROR(ROUND(($M23+$N23)/$E23,2),0))</f>
        <v/>
      </c>
      <c r="Q23" s="13">
        <f>IF($D23="","",IF(ISNA(MATCH($D23,Katalog_Leistung,0)),IF(OR(Eingabe!G62="",NOT(ISNUMBER(Eingabe!H62)),NOT(ISNUMBER(Eingabe!I62))),"! Freie Position: Einheit, Material und Zeit in Spalte G, H und I eintragen",IF(NOT(ISNUMBER(Eingabe!E62)),"! Menge fehlt oder ist keine Zahl",IF($E23&lt;=0,"! Menge muss größer 0 sein","OK - freie Position"))),IF(COUNTIF(Katalog_Leistung,$D23)&gt;1,"! Leistung steht mehrfach im Katalog - siehe Stammdaten",IF(INDEX(Katalog_Kategorie,MATCH($D23,Katalog_Leistung,0))&lt;&gt;$C23,"! Kategorie passt nicht zur Leistung",IF(NOT(ISNUMBER(Eingabe!E62)),"! Menge fehlt oder ist keine Zahl",IF($E23&lt;=0,"! Menge muss größer 0 sein",IF(OR(Eingabe!G62&lt;&gt;"",ISNUMBER(Eingabe!H62),ISNUMBER(Eingabe!I62)),"OK - manueller Wert überschreibt Katalog","OK")))))))</f>
        <v/>
      </c>
    </row>
    <row r="24">
      <c r="A24" s="21">
        <f>IF($D24="","",Eingabe!A63)</f>
        <v/>
      </c>
      <c r="B24" s="13">
        <f>IF($D24="","",IF(Eingabe!B63="","",Eingabe!B63))</f>
        <v/>
      </c>
      <c r="C24" s="13">
        <f>IF($D24="","",IF(Eingabe!C63="","",Eingabe!C63))</f>
        <v/>
      </c>
      <c r="D24" s="13">
        <f>IF(Eingabe!D63="","",Eingabe!D63)</f>
        <v/>
      </c>
      <c r="E24" s="26">
        <f>IF($D24="","",IF(ISNUMBER(Eingabe!E63),Eingabe!E63,0))</f>
        <v/>
      </c>
      <c r="F24" s="21">
        <f>IF($D24="","",IF(Eingabe!G63&lt;&gt;"",Eingabe!G63,IFERROR(INDEX(Katalog_Einheit,MATCH($D24,Katalog_Leistung,0)),"?")))</f>
        <v/>
      </c>
      <c r="G24" s="27">
        <f>IF($D24="","",IF(ISNUMBER(Eingabe!H63),Eingabe!H63,IFERROR(INDEX(Katalog_Material,MATCH($D24,Katalog_Leistung,0)),0)*(1+IF(ISNUMBER(Eingabe!$D$39),Eingabe!$D$39,0))))</f>
        <v/>
      </c>
      <c r="H24" s="28">
        <f>IF($D24="","",IF(ISNUMBER(Eingabe!I63),Eingabe!I63,IFERROR(INDEX(Katalog_Zeit,MATCH($D24,Katalog_Leistung,0)),0)))</f>
        <v/>
      </c>
      <c r="I24" s="27">
        <f>IF($D24="","",ROUND($E24*$G24,2))</f>
        <v/>
      </c>
      <c r="J24" s="27">
        <f>IF($D24="","",ROUND($I24*IF(ISNUMBER(Eingabe!$D$32),Eingabe!$D$32,0),2))</f>
        <v/>
      </c>
      <c r="K24" s="28">
        <f>IF($D24="","",$E24*$H24)</f>
        <v/>
      </c>
      <c r="L24" s="27">
        <f>IF($D24="","",ROUND($K24*IF(ISNUMBER(Eingabe!$D$31),Eingabe!$D$31,0),2))</f>
        <v/>
      </c>
      <c r="M24" s="27">
        <f>IF($D24="","",$I24+$J24+$L24)</f>
        <v/>
      </c>
      <c r="N24" s="27">
        <f>IF($D24="","",ROUND($M24*IF(ISNUMBER(Eingabe!$D$33),Eingabe!$D$33,0),2))</f>
        <v/>
      </c>
      <c r="O24" s="27">
        <f>IF($D24="","",ROUND($E24*$P24,2))</f>
        <v/>
      </c>
      <c r="P24" s="27">
        <f>IF($D24="","",IFERROR(ROUND(($M24+$N24)/$E24,2),0))</f>
        <v/>
      </c>
      <c r="Q24" s="13">
        <f>IF($D24="","",IF(ISNA(MATCH($D24,Katalog_Leistung,0)),IF(OR(Eingabe!G63="",NOT(ISNUMBER(Eingabe!H63)),NOT(ISNUMBER(Eingabe!I63))),"! Freie Position: Einheit, Material und Zeit in Spalte G, H und I eintragen",IF(NOT(ISNUMBER(Eingabe!E63)),"! Menge fehlt oder ist keine Zahl",IF($E24&lt;=0,"! Menge muss größer 0 sein","OK - freie Position"))),IF(COUNTIF(Katalog_Leistung,$D24)&gt;1,"! Leistung steht mehrfach im Katalog - siehe Stammdaten",IF(INDEX(Katalog_Kategorie,MATCH($D24,Katalog_Leistung,0))&lt;&gt;$C24,"! Kategorie passt nicht zur Leistung",IF(NOT(ISNUMBER(Eingabe!E63)),"! Menge fehlt oder ist keine Zahl",IF($E24&lt;=0,"! Menge muss größer 0 sein",IF(OR(Eingabe!G63&lt;&gt;"",ISNUMBER(Eingabe!H63),ISNUMBER(Eingabe!I63)),"OK - manueller Wert überschreibt Katalog","OK")))))))</f>
        <v/>
      </c>
    </row>
    <row r="25">
      <c r="A25" s="21">
        <f>IF($D25="","",Eingabe!A64)</f>
        <v/>
      </c>
      <c r="B25" s="13">
        <f>IF($D25="","",IF(Eingabe!B64="","",Eingabe!B64))</f>
        <v/>
      </c>
      <c r="C25" s="13">
        <f>IF($D25="","",IF(Eingabe!C64="","",Eingabe!C64))</f>
        <v/>
      </c>
      <c r="D25" s="13">
        <f>IF(Eingabe!D64="","",Eingabe!D64)</f>
        <v/>
      </c>
      <c r="E25" s="26">
        <f>IF($D25="","",IF(ISNUMBER(Eingabe!E64),Eingabe!E64,0))</f>
        <v/>
      </c>
      <c r="F25" s="21">
        <f>IF($D25="","",IF(Eingabe!G64&lt;&gt;"",Eingabe!G64,IFERROR(INDEX(Katalog_Einheit,MATCH($D25,Katalog_Leistung,0)),"?")))</f>
        <v/>
      </c>
      <c r="G25" s="27">
        <f>IF($D25="","",IF(ISNUMBER(Eingabe!H64),Eingabe!H64,IFERROR(INDEX(Katalog_Material,MATCH($D25,Katalog_Leistung,0)),0)*(1+IF(ISNUMBER(Eingabe!$D$39),Eingabe!$D$39,0))))</f>
        <v/>
      </c>
      <c r="H25" s="28">
        <f>IF($D25="","",IF(ISNUMBER(Eingabe!I64),Eingabe!I64,IFERROR(INDEX(Katalog_Zeit,MATCH($D25,Katalog_Leistung,0)),0)))</f>
        <v/>
      </c>
      <c r="I25" s="27">
        <f>IF($D25="","",ROUND($E25*$G25,2))</f>
        <v/>
      </c>
      <c r="J25" s="27">
        <f>IF($D25="","",ROUND($I25*IF(ISNUMBER(Eingabe!$D$32),Eingabe!$D$32,0),2))</f>
        <v/>
      </c>
      <c r="K25" s="28">
        <f>IF($D25="","",$E25*$H25)</f>
        <v/>
      </c>
      <c r="L25" s="27">
        <f>IF($D25="","",ROUND($K25*IF(ISNUMBER(Eingabe!$D$31),Eingabe!$D$31,0),2))</f>
        <v/>
      </c>
      <c r="M25" s="27">
        <f>IF($D25="","",$I25+$J25+$L25)</f>
        <v/>
      </c>
      <c r="N25" s="27">
        <f>IF($D25="","",ROUND($M25*IF(ISNUMBER(Eingabe!$D$33),Eingabe!$D$33,0),2))</f>
        <v/>
      </c>
      <c r="O25" s="27">
        <f>IF($D25="","",ROUND($E25*$P25,2))</f>
        <v/>
      </c>
      <c r="P25" s="27">
        <f>IF($D25="","",IFERROR(ROUND(($M25+$N25)/$E25,2),0))</f>
        <v/>
      </c>
      <c r="Q25" s="13">
        <f>IF($D25="","",IF(ISNA(MATCH($D25,Katalog_Leistung,0)),IF(OR(Eingabe!G64="",NOT(ISNUMBER(Eingabe!H64)),NOT(ISNUMBER(Eingabe!I64))),"! Freie Position: Einheit, Material und Zeit in Spalte G, H und I eintragen",IF(NOT(ISNUMBER(Eingabe!E64)),"! Menge fehlt oder ist keine Zahl",IF($E25&lt;=0,"! Menge muss größer 0 sein","OK - freie Position"))),IF(COUNTIF(Katalog_Leistung,$D25)&gt;1,"! Leistung steht mehrfach im Katalog - siehe Stammdaten",IF(INDEX(Katalog_Kategorie,MATCH($D25,Katalog_Leistung,0))&lt;&gt;$C25,"! Kategorie passt nicht zur Leistung",IF(NOT(ISNUMBER(Eingabe!E64)),"! Menge fehlt oder ist keine Zahl",IF($E25&lt;=0,"! Menge muss größer 0 sein",IF(OR(Eingabe!G64&lt;&gt;"",ISNUMBER(Eingabe!H64),ISNUMBER(Eingabe!I64)),"OK - manueller Wert überschreibt Katalog","OK")))))))</f>
        <v/>
      </c>
    </row>
    <row r="26">
      <c r="A26" s="21">
        <f>IF($D26="","",Eingabe!A65)</f>
        <v/>
      </c>
      <c r="B26" s="13">
        <f>IF($D26="","",IF(Eingabe!B65="","",Eingabe!B65))</f>
        <v/>
      </c>
      <c r="C26" s="13">
        <f>IF($D26="","",IF(Eingabe!C65="","",Eingabe!C65))</f>
        <v/>
      </c>
      <c r="D26" s="13">
        <f>IF(Eingabe!D65="","",Eingabe!D65)</f>
        <v/>
      </c>
      <c r="E26" s="26">
        <f>IF($D26="","",IF(ISNUMBER(Eingabe!E65),Eingabe!E65,0))</f>
        <v/>
      </c>
      <c r="F26" s="21">
        <f>IF($D26="","",IF(Eingabe!G65&lt;&gt;"",Eingabe!G65,IFERROR(INDEX(Katalog_Einheit,MATCH($D26,Katalog_Leistung,0)),"?")))</f>
        <v/>
      </c>
      <c r="G26" s="27">
        <f>IF($D26="","",IF(ISNUMBER(Eingabe!H65),Eingabe!H65,IFERROR(INDEX(Katalog_Material,MATCH($D26,Katalog_Leistung,0)),0)*(1+IF(ISNUMBER(Eingabe!$D$39),Eingabe!$D$39,0))))</f>
        <v/>
      </c>
      <c r="H26" s="28">
        <f>IF($D26="","",IF(ISNUMBER(Eingabe!I65),Eingabe!I65,IFERROR(INDEX(Katalog_Zeit,MATCH($D26,Katalog_Leistung,0)),0)))</f>
        <v/>
      </c>
      <c r="I26" s="27">
        <f>IF($D26="","",ROUND($E26*$G26,2))</f>
        <v/>
      </c>
      <c r="J26" s="27">
        <f>IF($D26="","",ROUND($I26*IF(ISNUMBER(Eingabe!$D$32),Eingabe!$D$32,0),2))</f>
        <v/>
      </c>
      <c r="K26" s="28">
        <f>IF($D26="","",$E26*$H26)</f>
        <v/>
      </c>
      <c r="L26" s="27">
        <f>IF($D26="","",ROUND($K26*IF(ISNUMBER(Eingabe!$D$31),Eingabe!$D$31,0),2))</f>
        <v/>
      </c>
      <c r="M26" s="27">
        <f>IF($D26="","",$I26+$J26+$L26)</f>
        <v/>
      </c>
      <c r="N26" s="27">
        <f>IF($D26="","",ROUND($M26*IF(ISNUMBER(Eingabe!$D$33),Eingabe!$D$33,0),2))</f>
        <v/>
      </c>
      <c r="O26" s="27">
        <f>IF($D26="","",ROUND($E26*$P26,2))</f>
        <v/>
      </c>
      <c r="P26" s="27">
        <f>IF($D26="","",IFERROR(ROUND(($M26+$N26)/$E26,2),0))</f>
        <v/>
      </c>
      <c r="Q26" s="13">
        <f>IF($D26="","",IF(ISNA(MATCH($D26,Katalog_Leistung,0)),IF(OR(Eingabe!G65="",NOT(ISNUMBER(Eingabe!H65)),NOT(ISNUMBER(Eingabe!I65))),"! Freie Position: Einheit, Material und Zeit in Spalte G, H und I eintragen",IF(NOT(ISNUMBER(Eingabe!E65)),"! Menge fehlt oder ist keine Zahl",IF($E26&lt;=0,"! Menge muss größer 0 sein","OK - freie Position"))),IF(COUNTIF(Katalog_Leistung,$D26)&gt;1,"! Leistung steht mehrfach im Katalog - siehe Stammdaten",IF(INDEX(Katalog_Kategorie,MATCH($D26,Katalog_Leistung,0))&lt;&gt;$C26,"! Kategorie passt nicht zur Leistung",IF(NOT(ISNUMBER(Eingabe!E65)),"! Menge fehlt oder ist keine Zahl",IF($E26&lt;=0,"! Menge muss größer 0 sein",IF(OR(Eingabe!G65&lt;&gt;"",ISNUMBER(Eingabe!H65),ISNUMBER(Eingabe!I65)),"OK - manueller Wert überschreibt Katalog","OK")))))))</f>
        <v/>
      </c>
    </row>
    <row r="27">
      <c r="A27" s="21">
        <f>IF($D27="","",Eingabe!A66)</f>
        <v/>
      </c>
      <c r="B27" s="13">
        <f>IF($D27="","",IF(Eingabe!B66="","",Eingabe!B66))</f>
        <v/>
      </c>
      <c r="C27" s="13">
        <f>IF($D27="","",IF(Eingabe!C66="","",Eingabe!C66))</f>
        <v/>
      </c>
      <c r="D27" s="13">
        <f>IF(Eingabe!D66="","",Eingabe!D66)</f>
        <v/>
      </c>
      <c r="E27" s="26">
        <f>IF($D27="","",IF(ISNUMBER(Eingabe!E66),Eingabe!E66,0))</f>
        <v/>
      </c>
      <c r="F27" s="21">
        <f>IF($D27="","",IF(Eingabe!G66&lt;&gt;"",Eingabe!G66,IFERROR(INDEX(Katalog_Einheit,MATCH($D27,Katalog_Leistung,0)),"?")))</f>
        <v/>
      </c>
      <c r="G27" s="27">
        <f>IF($D27="","",IF(ISNUMBER(Eingabe!H66),Eingabe!H66,IFERROR(INDEX(Katalog_Material,MATCH($D27,Katalog_Leistung,0)),0)*(1+IF(ISNUMBER(Eingabe!$D$39),Eingabe!$D$39,0))))</f>
        <v/>
      </c>
      <c r="H27" s="28">
        <f>IF($D27="","",IF(ISNUMBER(Eingabe!I66),Eingabe!I66,IFERROR(INDEX(Katalog_Zeit,MATCH($D27,Katalog_Leistung,0)),0)))</f>
        <v/>
      </c>
      <c r="I27" s="27">
        <f>IF($D27="","",ROUND($E27*$G27,2))</f>
        <v/>
      </c>
      <c r="J27" s="27">
        <f>IF($D27="","",ROUND($I27*IF(ISNUMBER(Eingabe!$D$32),Eingabe!$D$32,0),2))</f>
        <v/>
      </c>
      <c r="K27" s="28">
        <f>IF($D27="","",$E27*$H27)</f>
        <v/>
      </c>
      <c r="L27" s="27">
        <f>IF($D27="","",ROUND($K27*IF(ISNUMBER(Eingabe!$D$31),Eingabe!$D$31,0),2))</f>
        <v/>
      </c>
      <c r="M27" s="27">
        <f>IF($D27="","",$I27+$J27+$L27)</f>
        <v/>
      </c>
      <c r="N27" s="27">
        <f>IF($D27="","",ROUND($M27*IF(ISNUMBER(Eingabe!$D$33),Eingabe!$D$33,0),2))</f>
        <v/>
      </c>
      <c r="O27" s="27">
        <f>IF($D27="","",ROUND($E27*$P27,2))</f>
        <v/>
      </c>
      <c r="P27" s="27">
        <f>IF($D27="","",IFERROR(ROUND(($M27+$N27)/$E27,2),0))</f>
        <v/>
      </c>
      <c r="Q27" s="13">
        <f>IF($D27="","",IF(ISNA(MATCH($D27,Katalog_Leistung,0)),IF(OR(Eingabe!G66="",NOT(ISNUMBER(Eingabe!H66)),NOT(ISNUMBER(Eingabe!I66))),"! Freie Position: Einheit, Material und Zeit in Spalte G, H und I eintragen",IF(NOT(ISNUMBER(Eingabe!E66)),"! Menge fehlt oder ist keine Zahl",IF($E27&lt;=0,"! Menge muss größer 0 sein","OK - freie Position"))),IF(COUNTIF(Katalog_Leistung,$D27)&gt;1,"! Leistung steht mehrfach im Katalog - siehe Stammdaten",IF(INDEX(Katalog_Kategorie,MATCH($D27,Katalog_Leistung,0))&lt;&gt;$C27,"! Kategorie passt nicht zur Leistung",IF(NOT(ISNUMBER(Eingabe!E66)),"! Menge fehlt oder ist keine Zahl",IF($E27&lt;=0,"! Menge muss größer 0 sein",IF(OR(Eingabe!G66&lt;&gt;"",ISNUMBER(Eingabe!H66),ISNUMBER(Eingabe!I66)),"OK - manueller Wert überschreibt Katalog","OK")))))))</f>
        <v/>
      </c>
    </row>
    <row r="28">
      <c r="A28" s="21">
        <f>IF($D28="","",Eingabe!A67)</f>
        <v/>
      </c>
      <c r="B28" s="13">
        <f>IF($D28="","",IF(Eingabe!B67="","",Eingabe!B67))</f>
        <v/>
      </c>
      <c r="C28" s="13">
        <f>IF($D28="","",IF(Eingabe!C67="","",Eingabe!C67))</f>
        <v/>
      </c>
      <c r="D28" s="13">
        <f>IF(Eingabe!D67="","",Eingabe!D67)</f>
        <v/>
      </c>
      <c r="E28" s="26">
        <f>IF($D28="","",IF(ISNUMBER(Eingabe!E67),Eingabe!E67,0))</f>
        <v/>
      </c>
      <c r="F28" s="21">
        <f>IF($D28="","",IF(Eingabe!G67&lt;&gt;"",Eingabe!G67,IFERROR(INDEX(Katalog_Einheit,MATCH($D28,Katalog_Leistung,0)),"?")))</f>
        <v/>
      </c>
      <c r="G28" s="27">
        <f>IF($D28="","",IF(ISNUMBER(Eingabe!H67),Eingabe!H67,IFERROR(INDEX(Katalog_Material,MATCH($D28,Katalog_Leistung,0)),0)*(1+IF(ISNUMBER(Eingabe!$D$39),Eingabe!$D$39,0))))</f>
        <v/>
      </c>
      <c r="H28" s="28">
        <f>IF($D28="","",IF(ISNUMBER(Eingabe!I67),Eingabe!I67,IFERROR(INDEX(Katalog_Zeit,MATCH($D28,Katalog_Leistung,0)),0)))</f>
        <v/>
      </c>
      <c r="I28" s="27">
        <f>IF($D28="","",ROUND($E28*$G28,2))</f>
        <v/>
      </c>
      <c r="J28" s="27">
        <f>IF($D28="","",ROUND($I28*IF(ISNUMBER(Eingabe!$D$32),Eingabe!$D$32,0),2))</f>
        <v/>
      </c>
      <c r="K28" s="28">
        <f>IF($D28="","",$E28*$H28)</f>
        <v/>
      </c>
      <c r="L28" s="27">
        <f>IF($D28="","",ROUND($K28*IF(ISNUMBER(Eingabe!$D$31),Eingabe!$D$31,0),2))</f>
        <v/>
      </c>
      <c r="M28" s="27">
        <f>IF($D28="","",$I28+$J28+$L28)</f>
        <v/>
      </c>
      <c r="N28" s="27">
        <f>IF($D28="","",ROUND($M28*IF(ISNUMBER(Eingabe!$D$33),Eingabe!$D$33,0),2))</f>
        <v/>
      </c>
      <c r="O28" s="27">
        <f>IF($D28="","",ROUND($E28*$P28,2))</f>
        <v/>
      </c>
      <c r="P28" s="27">
        <f>IF($D28="","",IFERROR(ROUND(($M28+$N28)/$E28,2),0))</f>
        <v/>
      </c>
      <c r="Q28" s="13">
        <f>IF($D28="","",IF(ISNA(MATCH($D28,Katalog_Leistung,0)),IF(OR(Eingabe!G67="",NOT(ISNUMBER(Eingabe!H67)),NOT(ISNUMBER(Eingabe!I67))),"! Freie Position: Einheit, Material und Zeit in Spalte G, H und I eintragen",IF(NOT(ISNUMBER(Eingabe!E67)),"! Menge fehlt oder ist keine Zahl",IF($E28&lt;=0,"! Menge muss größer 0 sein","OK - freie Position"))),IF(COUNTIF(Katalog_Leistung,$D28)&gt;1,"! Leistung steht mehrfach im Katalog - siehe Stammdaten",IF(INDEX(Katalog_Kategorie,MATCH($D28,Katalog_Leistung,0))&lt;&gt;$C28,"! Kategorie passt nicht zur Leistung",IF(NOT(ISNUMBER(Eingabe!E67)),"! Menge fehlt oder ist keine Zahl",IF($E28&lt;=0,"! Menge muss größer 0 sein",IF(OR(Eingabe!G67&lt;&gt;"",ISNUMBER(Eingabe!H67),ISNUMBER(Eingabe!I67)),"OK - manueller Wert überschreibt Katalog","OK")))))))</f>
        <v/>
      </c>
    </row>
    <row r="29">
      <c r="A29" s="21">
        <f>IF($D29="","",Eingabe!A68)</f>
        <v/>
      </c>
      <c r="B29" s="13">
        <f>IF($D29="","",IF(Eingabe!B68="","",Eingabe!B68))</f>
        <v/>
      </c>
      <c r="C29" s="13">
        <f>IF($D29="","",IF(Eingabe!C68="","",Eingabe!C68))</f>
        <v/>
      </c>
      <c r="D29" s="13">
        <f>IF(Eingabe!D68="","",Eingabe!D68)</f>
        <v/>
      </c>
      <c r="E29" s="26">
        <f>IF($D29="","",IF(ISNUMBER(Eingabe!E68),Eingabe!E68,0))</f>
        <v/>
      </c>
      <c r="F29" s="21">
        <f>IF($D29="","",IF(Eingabe!G68&lt;&gt;"",Eingabe!G68,IFERROR(INDEX(Katalog_Einheit,MATCH($D29,Katalog_Leistung,0)),"?")))</f>
        <v/>
      </c>
      <c r="G29" s="27">
        <f>IF($D29="","",IF(ISNUMBER(Eingabe!H68),Eingabe!H68,IFERROR(INDEX(Katalog_Material,MATCH($D29,Katalog_Leistung,0)),0)*(1+IF(ISNUMBER(Eingabe!$D$39),Eingabe!$D$39,0))))</f>
        <v/>
      </c>
      <c r="H29" s="28">
        <f>IF($D29="","",IF(ISNUMBER(Eingabe!I68),Eingabe!I68,IFERROR(INDEX(Katalog_Zeit,MATCH($D29,Katalog_Leistung,0)),0)))</f>
        <v/>
      </c>
      <c r="I29" s="27">
        <f>IF($D29="","",ROUND($E29*$G29,2))</f>
        <v/>
      </c>
      <c r="J29" s="27">
        <f>IF($D29="","",ROUND($I29*IF(ISNUMBER(Eingabe!$D$32),Eingabe!$D$32,0),2))</f>
        <v/>
      </c>
      <c r="K29" s="28">
        <f>IF($D29="","",$E29*$H29)</f>
        <v/>
      </c>
      <c r="L29" s="27">
        <f>IF($D29="","",ROUND($K29*IF(ISNUMBER(Eingabe!$D$31),Eingabe!$D$31,0),2))</f>
        <v/>
      </c>
      <c r="M29" s="27">
        <f>IF($D29="","",$I29+$J29+$L29)</f>
        <v/>
      </c>
      <c r="N29" s="27">
        <f>IF($D29="","",ROUND($M29*IF(ISNUMBER(Eingabe!$D$33),Eingabe!$D$33,0),2))</f>
        <v/>
      </c>
      <c r="O29" s="27">
        <f>IF($D29="","",ROUND($E29*$P29,2))</f>
        <v/>
      </c>
      <c r="P29" s="27">
        <f>IF($D29="","",IFERROR(ROUND(($M29+$N29)/$E29,2),0))</f>
        <v/>
      </c>
      <c r="Q29" s="13">
        <f>IF($D29="","",IF(ISNA(MATCH($D29,Katalog_Leistung,0)),IF(OR(Eingabe!G68="",NOT(ISNUMBER(Eingabe!H68)),NOT(ISNUMBER(Eingabe!I68))),"! Freie Position: Einheit, Material und Zeit in Spalte G, H und I eintragen",IF(NOT(ISNUMBER(Eingabe!E68)),"! Menge fehlt oder ist keine Zahl",IF($E29&lt;=0,"! Menge muss größer 0 sein","OK - freie Position"))),IF(COUNTIF(Katalog_Leistung,$D29)&gt;1,"! Leistung steht mehrfach im Katalog - siehe Stammdaten",IF(INDEX(Katalog_Kategorie,MATCH($D29,Katalog_Leistung,0))&lt;&gt;$C29,"! Kategorie passt nicht zur Leistung",IF(NOT(ISNUMBER(Eingabe!E68)),"! Menge fehlt oder ist keine Zahl",IF($E29&lt;=0,"! Menge muss größer 0 sein",IF(OR(Eingabe!G68&lt;&gt;"",ISNUMBER(Eingabe!H68),ISNUMBER(Eingabe!I68)),"OK - manueller Wert überschreibt Katalog","OK")))))))</f>
        <v/>
      </c>
    </row>
    <row r="30">
      <c r="A30" s="21">
        <f>IF($D30="","",Eingabe!A69)</f>
        <v/>
      </c>
      <c r="B30" s="13">
        <f>IF($D30="","",IF(Eingabe!B69="","",Eingabe!B69))</f>
        <v/>
      </c>
      <c r="C30" s="13">
        <f>IF($D30="","",IF(Eingabe!C69="","",Eingabe!C69))</f>
        <v/>
      </c>
      <c r="D30" s="13">
        <f>IF(Eingabe!D69="","",Eingabe!D69)</f>
        <v/>
      </c>
      <c r="E30" s="26">
        <f>IF($D30="","",IF(ISNUMBER(Eingabe!E69),Eingabe!E69,0))</f>
        <v/>
      </c>
      <c r="F30" s="21">
        <f>IF($D30="","",IF(Eingabe!G69&lt;&gt;"",Eingabe!G69,IFERROR(INDEX(Katalog_Einheit,MATCH($D30,Katalog_Leistung,0)),"?")))</f>
        <v/>
      </c>
      <c r="G30" s="27">
        <f>IF($D30="","",IF(ISNUMBER(Eingabe!H69),Eingabe!H69,IFERROR(INDEX(Katalog_Material,MATCH($D30,Katalog_Leistung,0)),0)*(1+IF(ISNUMBER(Eingabe!$D$39),Eingabe!$D$39,0))))</f>
        <v/>
      </c>
      <c r="H30" s="28">
        <f>IF($D30="","",IF(ISNUMBER(Eingabe!I69),Eingabe!I69,IFERROR(INDEX(Katalog_Zeit,MATCH($D30,Katalog_Leistung,0)),0)))</f>
        <v/>
      </c>
      <c r="I30" s="27">
        <f>IF($D30="","",ROUND($E30*$G30,2))</f>
        <v/>
      </c>
      <c r="J30" s="27">
        <f>IF($D30="","",ROUND($I30*IF(ISNUMBER(Eingabe!$D$32),Eingabe!$D$32,0),2))</f>
        <v/>
      </c>
      <c r="K30" s="28">
        <f>IF($D30="","",$E30*$H30)</f>
        <v/>
      </c>
      <c r="L30" s="27">
        <f>IF($D30="","",ROUND($K30*IF(ISNUMBER(Eingabe!$D$31),Eingabe!$D$31,0),2))</f>
        <v/>
      </c>
      <c r="M30" s="27">
        <f>IF($D30="","",$I30+$J30+$L30)</f>
        <v/>
      </c>
      <c r="N30" s="27">
        <f>IF($D30="","",ROUND($M30*IF(ISNUMBER(Eingabe!$D$33),Eingabe!$D$33,0),2))</f>
        <v/>
      </c>
      <c r="O30" s="27">
        <f>IF($D30="","",ROUND($E30*$P30,2))</f>
        <v/>
      </c>
      <c r="P30" s="27">
        <f>IF($D30="","",IFERROR(ROUND(($M30+$N30)/$E30,2),0))</f>
        <v/>
      </c>
      <c r="Q30" s="13">
        <f>IF($D30="","",IF(ISNA(MATCH($D30,Katalog_Leistung,0)),IF(OR(Eingabe!G69="",NOT(ISNUMBER(Eingabe!H69)),NOT(ISNUMBER(Eingabe!I69))),"! Freie Position: Einheit, Material und Zeit in Spalte G, H und I eintragen",IF(NOT(ISNUMBER(Eingabe!E69)),"! Menge fehlt oder ist keine Zahl",IF($E30&lt;=0,"! Menge muss größer 0 sein","OK - freie Position"))),IF(COUNTIF(Katalog_Leistung,$D30)&gt;1,"! Leistung steht mehrfach im Katalog - siehe Stammdaten",IF(INDEX(Katalog_Kategorie,MATCH($D30,Katalog_Leistung,0))&lt;&gt;$C30,"! Kategorie passt nicht zur Leistung",IF(NOT(ISNUMBER(Eingabe!E69)),"! Menge fehlt oder ist keine Zahl",IF($E30&lt;=0,"! Menge muss größer 0 sein",IF(OR(Eingabe!G69&lt;&gt;"",ISNUMBER(Eingabe!H69),ISNUMBER(Eingabe!I69)),"OK - manueller Wert überschreibt Katalog","OK")))))))</f>
        <v/>
      </c>
    </row>
    <row r="31">
      <c r="A31" s="21">
        <f>IF($D31="","",Eingabe!A70)</f>
        <v/>
      </c>
      <c r="B31" s="13">
        <f>IF($D31="","",IF(Eingabe!B70="","",Eingabe!B70))</f>
        <v/>
      </c>
      <c r="C31" s="13">
        <f>IF($D31="","",IF(Eingabe!C70="","",Eingabe!C70))</f>
        <v/>
      </c>
      <c r="D31" s="13">
        <f>IF(Eingabe!D70="","",Eingabe!D70)</f>
        <v/>
      </c>
      <c r="E31" s="26">
        <f>IF($D31="","",IF(ISNUMBER(Eingabe!E70),Eingabe!E70,0))</f>
        <v/>
      </c>
      <c r="F31" s="21">
        <f>IF($D31="","",IF(Eingabe!G70&lt;&gt;"",Eingabe!G70,IFERROR(INDEX(Katalog_Einheit,MATCH($D31,Katalog_Leistung,0)),"?")))</f>
        <v/>
      </c>
      <c r="G31" s="27">
        <f>IF($D31="","",IF(ISNUMBER(Eingabe!H70),Eingabe!H70,IFERROR(INDEX(Katalog_Material,MATCH($D31,Katalog_Leistung,0)),0)*(1+IF(ISNUMBER(Eingabe!$D$39),Eingabe!$D$39,0))))</f>
        <v/>
      </c>
      <c r="H31" s="28">
        <f>IF($D31="","",IF(ISNUMBER(Eingabe!I70),Eingabe!I70,IFERROR(INDEX(Katalog_Zeit,MATCH($D31,Katalog_Leistung,0)),0)))</f>
        <v/>
      </c>
      <c r="I31" s="27">
        <f>IF($D31="","",ROUND($E31*$G31,2))</f>
        <v/>
      </c>
      <c r="J31" s="27">
        <f>IF($D31="","",ROUND($I31*IF(ISNUMBER(Eingabe!$D$32),Eingabe!$D$32,0),2))</f>
        <v/>
      </c>
      <c r="K31" s="28">
        <f>IF($D31="","",$E31*$H31)</f>
        <v/>
      </c>
      <c r="L31" s="27">
        <f>IF($D31="","",ROUND($K31*IF(ISNUMBER(Eingabe!$D$31),Eingabe!$D$31,0),2))</f>
        <v/>
      </c>
      <c r="M31" s="27">
        <f>IF($D31="","",$I31+$J31+$L31)</f>
        <v/>
      </c>
      <c r="N31" s="27">
        <f>IF($D31="","",ROUND($M31*IF(ISNUMBER(Eingabe!$D$33),Eingabe!$D$33,0),2))</f>
        <v/>
      </c>
      <c r="O31" s="27">
        <f>IF($D31="","",ROUND($E31*$P31,2))</f>
        <v/>
      </c>
      <c r="P31" s="27">
        <f>IF($D31="","",IFERROR(ROUND(($M31+$N31)/$E31,2),0))</f>
        <v/>
      </c>
      <c r="Q31" s="13">
        <f>IF($D31="","",IF(ISNA(MATCH($D31,Katalog_Leistung,0)),IF(OR(Eingabe!G70="",NOT(ISNUMBER(Eingabe!H70)),NOT(ISNUMBER(Eingabe!I70))),"! Freie Position: Einheit, Material und Zeit in Spalte G, H und I eintragen",IF(NOT(ISNUMBER(Eingabe!E70)),"! Menge fehlt oder ist keine Zahl",IF($E31&lt;=0,"! Menge muss größer 0 sein","OK - freie Position"))),IF(COUNTIF(Katalog_Leistung,$D31)&gt;1,"! Leistung steht mehrfach im Katalog - siehe Stammdaten",IF(INDEX(Katalog_Kategorie,MATCH($D31,Katalog_Leistung,0))&lt;&gt;$C31,"! Kategorie passt nicht zur Leistung",IF(NOT(ISNUMBER(Eingabe!E70)),"! Menge fehlt oder ist keine Zahl",IF($E31&lt;=0,"! Menge muss größer 0 sein",IF(OR(Eingabe!G70&lt;&gt;"",ISNUMBER(Eingabe!H70),ISNUMBER(Eingabe!I70)),"OK - manueller Wert überschreibt Katalog","OK")))))))</f>
        <v/>
      </c>
    </row>
    <row r="32">
      <c r="A32" s="21">
        <f>IF($D32="","",Eingabe!A71)</f>
        <v/>
      </c>
      <c r="B32" s="13">
        <f>IF($D32="","",IF(Eingabe!B71="","",Eingabe!B71))</f>
        <v/>
      </c>
      <c r="C32" s="13">
        <f>IF($D32="","",IF(Eingabe!C71="","",Eingabe!C71))</f>
        <v/>
      </c>
      <c r="D32" s="13">
        <f>IF(Eingabe!D71="","",Eingabe!D71)</f>
        <v/>
      </c>
      <c r="E32" s="26">
        <f>IF($D32="","",IF(ISNUMBER(Eingabe!E71),Eingabe!E71,0))</f>
        <v/>
      </c>
      <c r="F32" s="21">
        <f>IF($D32="","",IF(Eingabe!G71&lt;&gt;"",Eingabe!G71,IFERROR(INDEX(Katalog_Einheit,MATCH($D32,Katalog_Leistung,0)),"?")))</f>
        <v/>
      </c>
      <c r="G32" s="27">
        <f>IF($D32="","",IF(ISNUMBER(Eingabe!H71),Eingabe!H71,IFERROR(INDEX(Katalog_Material,MATCH($D32,Katalog_Leistung,0)),0)*(1+IF(ISNUMBER(Eingabe!$D$39),Eingabe!$D$39,0))))</f>
        <v/>
      </c>
      <c r="H32" s="28">
        <f>IF($D32="","",IF(ISNUMBER(Eingabe!I71),Eingabe!I71,IFERROR(INDEX(Katalog_Zeit,MATCH($D32,Katalog_Leistung,0)),0)))</f>
        <v/>
      </c>
      <c r="I32" s="27">
        <f>IF($D32="","",ROUND($E32*$G32,2))</f>
        <v/>
      </c>
      <c r="J32" s="27">
        <f>IF($D32="","",ROUND($I32*IF(ISNUMBER(Eingabe!$D$32),Eingabe!$D$32,0),2))</f>
        <v/>
      </c>
      <c r="K32" s="28">
        <f>IF($D32="","",$E32*$H32)</f>
        <v/>
      </c>
      <c r="L32" s="27">
        <f>IF($D32="","",ROUND($K32*IF(ISNUMBER(Eingabe!$D$31),Eingabe!$D$31,0),2))</f>
        <v/>
      </c>
      <c r="M32" s="27">
        <f>IF($D32="","",$I32+$J32+$L32)</f>
        <v/>
      </c>
      <c r="N32" s="27">
        <f>IF($D32="","",ROUND($M32*IF(ISNUMBER(Eingabe!$D$33),Eingabe!$D$33,0),2))</f>
        <v/>
      </c>
      <c r="O32" s="27">
        <f>IF($D32="","",ROUND($E32*$P32,2))</f>
        <v/>
      </c>
      <c r="P32" s="27">
        <f>IF($D32="","",IFERROR(ROUND(($M32+$N32)/$E32,2),0))</f>
        <v/>
      </c>
      <c r="Q32" s="13">
        <f>IF($D32="","",IF(ISNA(MATCH($D32,Katalog_Leistung,0)),IF(OR(Eingabe!G71="",NOT(ISNUMBER(Eingabe!H71)),NOT(ISNUMBER(Eingabe!I71))),"! Freie Position: Einheit, Material und Zeit in Spalte G, H und I eintragen",IF(NOT(ISNUMBER(Eingabe!E71)),"! Menge fehlt oder ist keine Zahl",IF($E32&lt;=0,"! Menge muss größer 0 sein","OK - freie Position"))),IF(COUNTIF(Katalog_Leistung,$D32)&gt;1,"! Leistung steht mehrfach im Katalog - siehe Stammdaten",IF(INDEX(Katalog_Kategorie,MATCH($D32,Katalog_Leistung,0))&lt;&gt;$C32,"! Kategorie passt nicht zur Leistung",IF(NOT(ISNUMBER(Eingabe!E71)),"! Menge fehlt oder ist keine Zahl",IF($E32&lt;=0,"! Menge muss größer 0 sein",IF(OR(Eingabe!G71&lt;&gt;"",ISNUMBER(Eingabe!H71),ISNUMBER(Eingabe!I71)),"OK - manueller Wert überschreibt Katalog","OK")))))))</f>
        <v/>
      </c>
    </row>
    <row r="33">
      <c r="A33" s="21">
        <f>IF($D33="","",Eingabe!A72)</f>
        <v/>
      </c>
      <c r="B33" s="13">
        <f>IF($D33="","",IF(Eingabe!B72="","",Eingabe!B72))</f>
        <v/>
      </c>
      <c r="C33" s="13">
        <f>IF($D33="","",IF(Eingabe!C72="","",Eingabe!C72))</f>
        <v/>
      </c>
      <c r="D33" s="13">
        <f>IF(Eingabe!D72="","",Eingabe!D72)</f>
        <v/>
      </c>
      <c r="E33" s="26">
        <f>IF($D33="","",IF(ISNUMBER(Eingabe!E72),Eingabe!E72,0))</f>
        <v/>
      </c>
      <c r="F33" s="21">
        <f>IF($D33="","",IF(Eingabe!G72&lt;&gt;"",Eingabe!G72,IFERROR(INDEX(Katalog_Einheit,MATCH($D33,Katalog_Leistung,0)),"?")))</f>
        <v/>
      </c>
      <c r="G33" s="27">
        <f>IF($D33="","",IF(ISNUMBER(Eingabe!H72),Eingabe!H72,IFERROR(INDEX(Katalog_Material,MATCH($D33,Katalog_Leistung,0)),0)*(1+IF(ISNUMBER(Eingabe!$D$39),Eingabe!$D$39,0))))</f>
        <v/>
      </c>
      <c r="H33" s="28">
        <f>IF($D33="","",IF(ISNUMBER(Eingabe!I72),Eingabe!I72,IFERROR(INDEX(Katalog_Zeit,MATCH($D33,Katalog_Leistung,0)),0)))</f>
        <v/>
      </c>
      <c r="I33" s="27">
        <f>IF($D33="","",ROUND($E33*$G33,2))</f>
        <v/>
      </c>
      <c r="J33" s="27">
        <f>IF($D33="","",ROUND($I33*IF(ISNUMBER(Eingabe!$D$32),Eingabe!$D$32,0),2))</f>
        <v/>
      </c>
      <c r="K33" s="28">
        <f>IF($D33="","",$E33*$H33)</f>
        <v/>
      </c>
      <c r="L33" s="27">
        <f>IF($D33="","",ROUND($K33*IF(ISNUMBER(Eingabe!$D$31),Eingabe!$D$31,0),2))</f>
        <v/>
      </c>
      <c r="M33" s="27">
        <f>IF($D33="","",$I33+$J33+$L33)</f>
        <v/>
      </c>
      <c r="N33" s="27">
        <f>IF($D33="","",ROUND($M33*IF(ISNUMBER(Eingabe!$D$33),Eingabe!$D$33,0),2))</f>
        <v/>
      </c>
      <c r="O33" s="27">
        <f>IF($D33="","",ROUND($E33*$P33,2))</f>
        <v/>
      </c>
      <c r="P33" s="27">
        <f>IF($D33="","",IFERROR(ROUND(($M33+$N33)/$E33,2),0))</f>
        <v/>
      </c>
      <c r="Q33" s="13">
        <f>IF($D33="","",IF(ISNA(MATCH($D33,Katalog_Leistung,0)),IF(OR(Eingabe!G72="",NOT(ISNUMBER(Eingabe!H72)),NOT(ISNUMBER(Eingabe!I72))),"! Freie Position: Einheit, Material und Zeit in Spalte G, H und I eintragen",IF(NOT(ISNUMBER(Eingabe!E72)),"! Menge fehlt oder ist keine Zahl",IF($E33&lt;=0,"! Menge muss größer 0 sein","OK - freie Position"))),IF(COUNTIF(Katalog_Leistung,$D33)&gt;1,"! Leistung steht mehrfach im Katalog - siehe Stammdaten",IF(INDEX(Katalog_Kategorie,MATCH($D33,Katalog_Leistung,0))&lt;&gt;$C33,"! Kategorie passt nicht zur Leistung",IF(NOT(ISNUMBER(Eingabe!E72)),"! Menge fehlt oder ist keine Zahl",IF($E33&lt;=0,"! Menge muss größer 0 sein",IF(OR(Eingabe!G72&lt;&gt;"",ISNUMBER(Eingabe!H72),ISNUMBER(Eingabe!I72)),"OK - manueller Wert überschreibt Katalog","OK")))))))</f>
        <v/>
      </c>
    </row>
    <row r="34">
      <c r="A34" s="21">
        <f>IF($D34="","",Eingabe!A73)</f>
        <v/>
      </c>
      <c r="B34" s="13">
        <f>IF($D34="","",IF(Eingabe!B73="","",Eingabe!B73))</f>
        <v/>
      </c>
      <c r="C34" s="13">
        <f>IF($D34="","",IF(Eingabe!C73="","",Eingabe!C73))</f>
        <v/>
      </c>
      <c r="D34" s="13">
        <f>IF(Eingabe!D73="","",Eingabe!D73)</f>
        <v/>
      </c>
      <c r="E34" s="26">
        <f>IF($D34="","",IF(ISNUMBER(Eingabe!E73),Eingabe!E73,0))</f>
        <v/>
      </c>
      <c r="F34" s="21">
        <f>IF($D34="","",IF(Eingabe!G73&lt;&gt;"",Eingabe!G73,IFERROR(INDEX(Katalog_Einheit,MATCH($D34,Katalog_Leistung,0)),"?")))</f>
        <v/>
      </c>
      <c r="G34" s="27">
        <f>IF($D34="","",IF(ISNUMBER(Eingabe!H73),Eingabe!H73,IFERROR(INDEX(Katalog_Material,MATCH($D34,Katalog_Leistung,0)),0)*(1+IF(ISNUMBER(Eingabe!$D$39),Eingabe!$D$39,0))))</f>
        <v/>
      </c>
      <c r="H34" s="28">
        <f>IF($D34="","",IF(ISNUMBER(Eingabe!I73),Eingabe!I73,IFERROR(INDEX(Katalog_Zeit,MATCH($D34,Katalog_Leistung,0)),0)))</f>
        <v/>
      </c>
      <c r="I34" s="27">
        <f>IF($D34="","",ROUND($E34*$G34,2))</f>
        <v/>
      </c>
      <c r="J34" s="27">
        <f>IF($D34="","",ROUND($I34*IF(ISNUMBER(Eingabe!$D$32),Eingabe!$D$32,0),2))</f>
        <v/>
      </c>
      <c r="K34" s="28">
        <f>IF($D34="","",$E34*$H34)</f>
        <v/>
      </c>
      <c r="L34" s="27">
        <f>IF($D34="","",ROUND($K34*IF(ISNUMBER(Eingabe!$D$31),Eingabe!$D$31,0),2))</f>
        <v/>
      </c>
      <c r="M34" s="27">
        <f>IF($D34="","",$I34+$J34+$L34)</f>
        <v/>
      </c>
      <c r="N34" s="27">
        <f>IF($D34="","",ROUND($M34*IF(ISNUMBER(Eingabe!$D$33),Eingabe!$D$33,0),2))</f>
        <v/>
      </c>
      <c r="O34" s="27">
        <f>IF($D34="","",ROUND($E34*$P34,2))</f>
        <v/>
      </c>
      <c r="P34" s="27">
        <f>IF($D34="","",IFERROR(ROUND(($M34+$N34)/$E34,2),0))</f>
        <v/>
      </c>
      <c r="Q34" s="13">
        <f>IF($D34="","",IF(ISNA(MATCH($D34,Katalog_Leistung,0)),IF(OR(Eingabe!G73="",NOT(ISNUMBER(Eingabe!H73)),NOT(ISNUMBER(Eingabe!I73))),"! Freie Position: Einheit, Material und Zeit in Spalte G, H und I eintragen",IF(NOT(ISNUMBER(Eingabe!E73)),"! Menge fehlt oder ist keine Zahl",IF($E34&lt;=0,"! Menge muss größer 0 sein","OK - freie Position"))),IF(COUNTIF(Katalog_Leistung,$D34)&gt;1,"! Leistung steht mehrfach im Katalog - siehe Stammdaten",IF(INDEX(Katalog_Kategorie,MATCH($D34,Katalog_Leistung,0))&lt;&gt;$C34,"! Kategorie passt nicht zur Leistung",IF(NOT(ISNUMBER(Eingabe!E73)),"! Menge fehlt oder ist keine Zahl",IF($E34&lt;=0,"! Menge muss größer 0 sein",IF(OR(Eingabe!G73&lt;&gt;"",ISNUMBER(Eingabe!H73),ISNUMBER(Eingabe!I73)),"OK - manueller Wert überschreibt Katalog","OK")))))))</f>
        <v/>
      </c>
    </row>
    <row r="35">
      <c r="A35" s="21">
        <f>IF($D35="","",Eingabe!A74)</f>
        <v/>
      </c>
      <c r="B35" s="13">
        <f>IF($D35="","",IF(Eingabe!B74="","",Eingabe!B74))</f>
        <v/>
      </c>
      <c r="C35" s="13">
        <f>IF($D35="","",IF(Eingabe!C74="","",Eingabe!C74))</f>
        <v/>
      </c>
      <c r="D35" s="13">
        <f>IF(Eingabe!D74="","",Eingabe!D74)</f>
        <v/>
      </c>
      <c r="E35" s="26">
        <f>IF($D35="","",IF(ISNUMBER(Eingabe!E74),Eingabe!E74,0))</f>
        <v/>
      </c>
      <c r="F35" s="21">
        <f>IF($D35="","",IF(Eingabe!G74&lt;&gt;"",Eingabe!G74,IFERROR(INDEX(Katalog_Einheit,MATCH($D35,Katalog_Leistung,0)),"?")))</f>
        <v/>
      </c>
      <c r="G35" s="27">
        <f>IF($D35="","",IF(ISNUMBER(Eingabe!H74),Eingabe!H74,IFERROR(INDEX(Katalog_Material,MATCH($D35,Katalog_Leistung,0)),0)*(1+IF(ISNUMBER(Eingabe!$D$39),Eingabe!$D$39,0))))</f>
        <v/>
      </c>
      <c r="H35" s="28">
        <f>IF($D35="","",IF(ISNUMBER(Eingabe!I74),Eingabe!I74,IFERROR(INDEX(Katalog_Zeit,MATCH($D35,Katalog_Leistung,0)),0)))</f>
        <v/>
      </c>
      <c r="I35" s="27">
        <f>IF($D35="","",ROUND($E35*$G35,2))</f>
        <v/>
      </c>
      <c r="J35" s="27">
        <f>IF($D35="","",ROUND($I35*IF(ISNUMBER(Eingabe!$D$32),Eingabe!$D$32,0),2))</f>
        <v/>
      </c>
      <c r="K35" s="28">
        <f>IF($D35="","",$E35*$H35)</f>
        <v/>
      </c>
      <c r="L35" s="27">
        <f>IF($D35="","",ROUND($K35*IF(ISNUMBER(Eingabe!$D$31),Eingabe!$D$31,0),2))</f>
        <v/>
      </c>
      <c r="M35" s="27">
        <f>IF($D35="","",$I35+$J35+$L35)</f>
        <v/>
      </c>
      <c r="N35" s="27">
        <f>IF($D35="","",ROUND($M35*IF(ISNUMBER(Eingabe!$D$33),Eingabe!$D$33,0),2))</f>
        <v/>
      </c>
      <c r="O35" s="27">
        <f>IF($D35="","",ROUND($E35*$P35,2))</f>
        <v/>
      </c>
      <c r="P35" s="27">
        <f>IF($D35="","",IFERROR(ROUND(($M35+$N35)/$E35,2),0))</f>
        <v/>
      </c>
      <c r="Q35" s="13">
        <f>IF($D35="","",IF(ISNA(MATCH($D35,Katalog_Leistung,0)),IF(OR(Eingabe!G74="",NOT(ISNUMBER(Eingabe!H74)),NOT(ISNUMBER(Eingabe!I74))),"! Freie Position: Einheit, Material und Zeit in Spalte G, H und I eintragen",IF(NOT(ISNUMBER(Eingabe!E74)),"! Menge fehlt oder ist keine Zahl",IF($E35&lt;=0,"! Menge muss größer 0 sein","OK - freie Position"))),IF(COUNTIF(Katalog_Leistung,$D35)&gt;1,"! Leistung steht mehrfach im Katalog - siehe Stammdaten",IF(INDEX(Katalog_Kategorie,MATCH($D35,Katalog_Leistung,0))&lt;&gt;$C35,"! Kategorie passt nicht zur Leistung",IF(NOT(ISNUMBER(Eingabe!E74)),"! Menge fehlt oder ist keine Zahl",IF($E35&lt;=0,"! Menge muss größer 0 sein",IF(OR(Eingabe!G74&lt;&gt;"",ISNUMBER(Eingabe!H74),ISNUMBER(Eingabe!I74)),"OK - manueller Wert überschreibt Katalog","OK")))))))</f>
        <v/>
      </c>
    </row>
    <row r="36">
      <c r="A36" s="21">
        <f>IF($D36="","",Eingabe!A75)</f>
        <v/>
      </c>
      <c r="B36" s="13">
        <f>IF($D36="","",IF(Eingabe!B75="","",Eingabe!B75))</f>
        <v/>
      </c>
      <c r="C36" s="13">
        <f>IF($D36="","",IF(Eingabe!C75="","",Eingabe!C75))</f>
        <v/>
      </c>
      <c r="D36" s="13">
        <f>IF(Eingabe!D75="","",Eingabe!D75)</f>
        <v/>
      </c>
      <c r="E36" s="26">
        <f>IF($D36="","",IF(ISNUMBER(Eingabe!E75),Eingabe!E75,0))</f>
        <v/>
      </c>
      <c r="F36" s="21">
        <f>IF($D36="","",IF(Eingabe!G75&lt;&gt;"",Eingabe!G75,IFERROR(INDEX(Katalog_Einheit,MATCH($D36,Katalog_Leistung,0)),"?")))</f>
        <v/>
      </c>
      <c r="G36" s="27">
        <f>IF($D36="","",IF(ISNUMBER(Eingabe!H75),Eingabe!H75,IFERROR(INDEX(Katalog_Material,MATCH($D36,Katalog_Leistung,0)),0)*(1+IF(ISNUMBER(Eingabe!$D$39),Eingabe!$D$39,0))))</f>
        <v/>
      </c>
      <c r="H36" s="28">
        <f>IF($D36="","",IF(ISNUMBER(Eingabe!I75),Eingabe!I75,IFERROR(INDEX(Katalog_Zeit,MATCH($D36,Katalog_Leistung,0)),0)))</f>
        <v/>
      </c>
      <c r="I36" s="27">
        <f>IF($D36="","",ROUND($E36*$G36,2))</f>
        <v/>
      </c>
      <c r="J36" s="27">
        <f>IF($D36="","",ROUND($I36*IF(ISNUMBER(Eingabe!$D$32),Eingabe!$D$32,0),2))</f>
        <v/>
      </c>
      <c r="K36" s="28">
        <f>IF($D36="","",$E36*$H36)</f>
        <v/>
      </c>
      <c r="L36" s="27">
        <f>IF($D36="","",ROUND($K36*IF(ISNUMBER(Eingabe!$D$31),Eingabe!$D$31,0),2))</f>
        <v/>
      </c>
      <c r="M36" s="27">
        <f>IF($D36="","",$I36+$J36+$L36)</f>
        <v/>
      </c>
      <c r="N36" s="27">
        <f>IF($D36="","",ROUND($M36*IF(ISNUMBER(Eingabe!$D$33),Eingabe!$D$33,0),2))</f>
        <v/>
      </c>
      <c r="O36" s="27">
        <f>IF($D36="","",ROUND($E36*$P36,2))</f>
        <v/>
      </c>
      <c r="P36" s="27">
        <f>IF($D36="","",IFERROR(ROUND(($M36+$N36)/$E36,2),0))</f>
        <v/>
      </c>
      <c r="Q36" s="13">
        <f>IF($D36="","",IF(ISNA(MATCH($D36,Katalog_Leistung,0)),IF(OR(Eingabe!G75="",NOT(ISNUMBER(Eingabe!H75)),NOT(ISNUMBER(Eingabe!I75))),"! Freie Position: Einheit, Material und Zeit in Spalte G, H und I eintragen",IF(NOT(ISNUMBER(Eingabe!E75)),"! Menge fehlt oder ist keine Zahl",IF($E36&lt;=0,"! Menge muss größer 0 sein","OK - freie Position"))),IF(COUNTIF(Katalog_Leistung,$D36)&gt;1,"! Leistung steht mehrfach im Katalog - siehe Stammdaten",IF(INDEX(Katalog_Kategorie,MATCH($D36,Katalog_Leistung,0))&lt;&gt;$C36,"! Kategorie passt nicht zur Leistung",IF(NOT(ISNUMBER(Eingabe!E75)),"! Menge fehlt oder ist keine Zahl",IF($E36&lt;=0,"! Menge muss größer 0 sein",IF(OR(Eingabe!G75&lt;&gt;"",ISNUMBER(Eingabe!H75),ISNUMBER(Eingabe!I75)),"OK - manueller Wert überschreibt Katalog","OK")))))))</f>
        <v/>
      </c>
    </row>
    <row r="37">
      <c r="A37" s="21">
        <f>IF($D37="","",Eingabe!A76)</f>
        <v/>
      </c>
      <c r="B37" s="13">
        <f>IF($D37="","",IF(Eingabe!B76="","",Eingabe!B76))</f>
        <v/>
      </c>
      <c r="C37" s="13">
        <f>IF($D37="","",IF(Eingabe!C76="","",Eingabe!C76))</f>
        <v/>
      </c>
      <c r="D37" s="13">
        <f>IF(Eingabe!D76="","",Eingabe!D76)</f>
        <v/>
      </c>
      <c r="E37" s="26">
        <f>IF($D37="","",IF(ISNUMBER(Eingabe!E76),Eingabe!E76,0))</f>
        <v/>
      </c>
      <c r="F37" s="21">
        <f>IF($D37="","",IF(Eingabe!G76&lt;&gt;"",Eingabe!G76,IFERROR(INDEX(Katalog_Einheit,MATCH($D37,Katalog_Leistung,0)),"?")))</f>
        <v/>
      </c>
      <c r="G37" s="27">
        <f>IF($D37="","",IF(ISNUMBER(Eingabe!H76),Eingabe!H76,IFERROR(INDEX(Katalog_Material,MATCH($D37,Katalog_Leistung,0)),0)*(1+IF(ISNUMBER(Eingabe!$D$39),Eingabe!$D$39,0))))</f>
        <v/>
      </c>
      <c r="H37" s="28">
        <f>IF($D37="","",IF(ISNUMBER(Eingabe!I76),Eingabe!I76,IFERROR(INDEX(Katalog_Zeit,MATCH($D37,Katalog_Leistung,0)),0)))</f>
        <v/>
      </c>
      <c r="I37" s="27">
        <f>IF($D37="","",ROUND($E37*$G37,2))</f>
        <v/>
      </c>
      <c r="J37" s="27">
        <f>IF($D37="","",ROUND($I37*IF(ISNUMBER(Eingabe!$D$32),Eingabe!$D$32,0),2))</f>
        <v/>
      </c>
      <c r="K37" s="28">
        <f>IF($D37="","",$E37*$H37)</f>
        <v/>
      </c>
      <c r="L37" s="27">
        <f>IF($D37="","",ROUND($K37*IF(ISNUMBER(Eingabe!$D$31),Eingabe!$D$31,0),2))</f>
        <v/>
      </c>
      <c r="M37" s="27">
        <f>IF($D37="","",$I37+$J37+$L37)</f>
        <v/>
      </c>
      <c r="N37" s="27">
        <f>IF($D37="","",ROUND($M37*IF(ISNUMBER(Eingabe!$D$33),Eingabe!$D$33,0),2))</f>
        <v/>
      </c>
      <c r="O37" s="27">
        <f>IF($D37="","",ROUND($E37*$P37,2))</f>
        <v/>
      </c>
      <c r="P37" s="27">
        <f>IF($D37="","",IFERROR(ROUND(($M37+$N37)/$E37,2),0))</f>
        <v/>
      </c>
      <c r="Q37" s="13">
        <f>IF($D37="","",IF(ISNA(MATCH($D37,Katalog_Leistung,0)),IF(OR(Eingabe!G76="",NOT(ISNUMBER(Eingabe!H76)),NOT(ISNUMBER(Eingabe!I76))),"! Freie Position: Einheit, Material und Zeit in Spalte G, H und I eintragen",IF(NOT(ISNUMBER(Eingabe!E76)),"! Menge fehlt oder ist keine Zahl",IF($E37&lt;=0,"! Menge muss größer 0 sein","OK - freie Position"))),IF(COUNTIF(Katalog_Leistung,$D37)&gt;1,"! Leistung steht mehrfach im Katalog - siehe Stammdaten",IF(INDEX(Katalog_Kategorie,MATCH($D37,Katalog_Leistung,0))&lt;&gt;$C37,"! Kategorie passt nicht zur Leistung",IF(NOT(ISNUMBER(Eingabe!E76)),"! Menge fehlt oder ist keine Zahl",IF($E37&lt;=0,"! Menge muss größer 0 sein",IF(OR(Eingabe!G76&lt;&gt;"",ISNUMBER(Eingabe!H76),ISNUMBER(Eingabe!I76)),"OK - manueller Wert überschreibt Katalog","OK")))))))</f>
        <v/>
      </c>
    </row>
    <row r="38">
      <c r="A38" s="21">
        <f>IF($D38="","",Eingabe!A77)</f>
        <v/>
      </c>
      <c r="B38" s="13">
        <f>IF($D38="","",IF(Eingabe!B77="","",Eingabe!B77))</f>
        <v/>
      </c>
      <c r="C38" s="13">
        <f>IF($D38="","",IF(Eingabe!C77="","",Eingabe!C77))</f>
        <v/>
      </c>
      <c r="D38" s="13">
        <f>IF(Eingabe!D77="","",Eingabe!D77)</f>
        <v/>
      </c>
      <c r="E38" s="26">
        <f>IF($D38="","",IF(ISNUMBER(Eingabe!E77),Eingabe!E77,0))</f>
        <v/>
      </c>
      <c r="F38" s="21">
        <f>IF($D38="","",IF(Eingabe!G77&lt;&gt;"",Eingabe!G77,IFERROR(INDEX(Katalog_Einheit,MATCH($D38,Katalog_Leistung,0)),"?")))</f>
        <v/>
      </c>
      <c r="G38" s="27">
        <f>IF($D38="","",IF(ISNUMBER(Eingabe!H77),Eingabe!H77,IFERROR(INDEX(Katalog_Material,MATCH($D38,Katalog_Leistung,0)),0)*(1+IF(ISNUMBER(Eingabe!$D$39),Eingabe!$D$39,0))))</f>
        <v/>
      </c>
      <c r="H38" s="28">
        <f>IF($D38="","",IF(ISNUMBER(Eingabe!I77),Eingabe!I77,IFERROR(INDEX(Katalog_Zeit,MATCH($D38,Katalog_Leistung,0)),0)))</f>
        <v/>
      </c>
      <c r="I38" s="27">
        <f>IF($D38="","",ROUND($E38*$G38,2))</f>
        <v/>
      </c>
      <c r="J38" s="27">
        <f>IF($D38="","",ROUND($I38*IF(ISNUMBER(Eingabe!$D$32),Eingabe!$D$32,0),2))</f>
        <v/>
      </c>
      <c r="K38" s="28">
        <f>IF($D38="","",$E38*$H38)</f>
        <v/>
      </c>
      <c r="L38" s="27">
        <f>IF($D38="","",ROUND($K38*IF(ISNUMBER(Eingabe!$D$31),Eingabe!$D$31,0),2))</f>
        <v/>
      </c>
      <c r="M38" s="27">
        <f>IF($D38="","",$I38+$J38+$L38)</f>
        <v/>
      </c>
      <c r="N38" s="27">
        <f>IF($D38="","",ROUND($M38*IF(ISNUMBER(Eingabe!$D$33),Eingabe!$D$33,0),2))</f>
        <v/>
      </c>
      <c r="O38" s="27">
        <f>IF($D38="","",ROUND($E38*$P38,2))</f>
        <v/>
      </c>
      <c r="P38" s="27">
        <f>IF($D38="","",IFERROR(ROUND(($M38+$N38)/$E38,2),0))</f>
        <v/>
      </c>
      <c r="Q38" s="13">
        <f>IF($D38="","",IF(ISNA(MATCH($D38,Katalog_Leistung,0)),IF(OR(Eingabe!G77="",NOT(ISNUMBER(Eingabe!H77)),NOT(ISNUMBER(Eingabe!I77))),"! Freie Position: Einheit, Material und Zeit in Spalte G, H und I eintragen",IF(NOT(ISNUMBER(Eingabe!E77)),"! Menge fehlt oder ist keine Zahl",IF($E38&lt;=0,"! Menge muss größer 0 sein","OK - freie Position"))),IF(COUNTIF(Katalog_Leistung,$D38)&gt;1,"! Leistung steht mehrfach im Katalog - siehe Stammdaten",IF(INDEX(Katalog_Kategorie,MATCH($D38,Katalog_Leistung,0))&lt;&gt;$C38,"! Kategorie passt nicht zur Leistung",IF(NOT(ISNUMBER(Eingabe!E77)),"! Menge fehlt oder ist keine Zahl",IF($E38&lt;=0,"! Menge muss größer 0 sein",IF(OR(Eingabe!G77&lt;&gt;"",ISNUMBER(Eingabe!H77),ISNUMBER(Eingabe!I77)),"OK - manueller Wert überschreibt Katalog","OK")))))))</f>
        <v/>
      </c>
    </row>
    <row r="39">
      <c r="A39" s="21">
        <f>IF($D39="","",Eingabe!A78)</f>
        <v/>
      </c>
      <c r="B39" s="13">
        <f>IF($D39="","",IF(Eingabe!B78="","",Eingabe!B78))</f>
        <v/>
      </c>
      <c r="C39" s="13">
        <f>IF($D39="","",IF(Eingabe!C78="","",Eingabe!C78))</f>
        <v/>
      </c>
      <c r="D39" s="13">
        <f>IF(Eingabe!D78="","",Eingabe!D78)</f>
        <v/>
      </c>
      <c r="E39" s="26">
        <f>IF($D39="","",IF(ISNUMBER(Eingabe!E78),Eingabe!E78,0))</f>
        <v/>
      </c>
      <c r="F39" s="21">
        <f>IF($D39="","",IF(Eingabe!G78&lt;&gt;"",Eingabe!G78,IFERROR(INDEX(Katalog_Einheit,MATCH($D39,Katalog_Leistung,0)),"?")))</f>
        <v/>
      </c>
      <c r="G39" s="27">
        <f>IF($D39="","",IF(ISNUMBER(Eingabe!H78),Eingabe!H78,IFERROR(INDEX(Katalog_Material,MATCH($D39,Katalog_Leistung,0)),0)*(1+IF(ISNUMBER(Eingabe!$D$39),Eingabe!$D$39,0))))</f>
        <v/>
      </c>
      <c r="H39" s="28">
        <f>IF($D39="","",IF(ISNUMBER(Eingabe!I78),Eingabe!I78,IFERROR(INDEX(Katalog_Zeit,MATCH($D39,Katalog_Leistung,0)),0)))</f>
        <v/>
      </c>
      <c r="I39" s="27">
        <f>IF($D39="","",ROUND($E39*$G39,2))</f>
        <v/>
      </c>
      <c r="J39" s="27">
        <f>IF($D39="","",ROUND($I39*IF(ISNUMBER(Eingabe!$D$32),Eingabe!$D$32,0),2))</f>
        <v/>
      </c>
      <c r="K39" s="28">
        <f>IF($D39="","",$E39*$H39)</f>
        <v/>
      </c>
      <c r="L39" s="27">
        <f>IF($D39="","",ROUND($K39*IF(ISNUMBER(Eingabe!$D$31),Eingabe!$D$31,0),2))</f>
        <v/>
      </c>
      <c r="M39" s="27">
        <f>IF($D39="","",$I39+$J39+$L39)</f>
        <v/>
      </c>
      <c r="N39" s="27">
        <f>IF($D39="","",ROUND($M39*IF(ISNUMBER(Eingabe!$D$33),Eingabe!$D$33,0),2))</f>
        <v/>
      </c>
      <c r="O39" s="27">
        <f>IF($D39="","",ROUND($E39*$P39,2))</f>
        <v/>
      </c>
      <c r="P39" s="27">
        <f>IF($D39="","",IFERROR(ROUND(($M39+$N39)/$E39,2),0))</f>
        <v/>
      </c>
      <c r="Q39" s="13">
        <f>IF($D39="","",IF(ISNA(MATCH($D39,Katalog_Leistung,0)),IF(OR(Eingabe!G78="",NOT(ISNUMBER(Eingabe!H78)),NOT(ISNUMBER(Eingabe!I78))),"! Freie Position: Einheit, Material und Zeit in Spalte G, H und I eintragen",IF(NOT(ISNUMBER(Eingabe!E78)),"! Menge fehlt oder ist keine Zahl",IF($E39&lt;=0,"! Menge muss größer 0 sein","OK - freie Position"))),IF(COUNTIF(Katalog_Leistung,$D39)&gt;1,"! Leistung steht mehrfach im Katalog - siehe Stammdaten",IF(INDEX(Katalog_Kategorie,MATCH($D39,Katalog_Leistung,0))&lt;&gt;$C39,"! Kategorie passt nicht zur Leistung",IF(NOT(ISNUMBER(Eingabe!E78)),"! Menge fehlt oder ist keine Zahl",IF($E39&lt;=0,"! Menge muss größer 0 sein",IF(OR(Eingabe!G78&lt;&gt;"",ISNUMBER(Eingabe!H78),ISNUMBER(Eingabe!I78)),"OK - manueller Wert überschreibt Katalog","OK")))))))</f>
        <v/>
      </c>
    </row>
    <row r="40">
      <c r="A40" s="21">
        <f>IF($D40="","",Eingabe!A79)</f>
        <v/>
      </c>
      <c r="B40" s="13">
        <f>IF($D40="","",IF(Eingabe!B79="","",Eingabe!B79))</f>
        <v/>
      </c>
      <c r="C40" s="13">
        <f>IF($D40="","",IF(Eingabe!C79="","",Eingabe!C79))</f>
        <v/>
      </c>
      <c r="D40" s="13">
        <f>IF(Eingabe!D79="","",Eingabe!D79)</f>
        <v/>
      </c>
      <c r="E40" s="26">
        <f>IF($D40="","",IF(ISNUMBER(Eingabe!E79),Eingabe!E79,0))</f>
        <v/>
      </c>
      <c r="F40" s="21">
        <f>IF($D40="","",IF(Eingabe!G79&lt;&gt;"",Eingabe!G79,IFERROR(INDEX(Katalog_Einheit,MATCH($D40,Katalog_Leistung,0)),"?")))</f>
        <v/>
      </c>
      <c r="G40" s="27">
        <f>IF($D40="","",IF(ISNUMBER(Eingabe!H79),Eingabe!H79,IFERROR(INDEX(Katalog_Material,MATCH($D40,Katalog_Leistung,0)),0)*(1+IF(ISNUMBER(Eingabe!$D$39),Eingabe!$D$39,0))))</f>
        <v/>
      </c>
      <c r="H40" s="28">
        <f>IF($D40="","",IF(ISNUMBER(Eingabe!I79),Eingabe!I79,IFERROR(INDEX(Katalog_Zeit,MATCH($D40,Katalog_Leistung,0)),0)))</f>
        <v/>
      </c>
      <c r="I40" s="27">
        <f>IF($D40="","",ROUND($E40*$G40,2))</f>
        <v/>
      </c>
      <c r="J40" s="27">
        <f>IF($D40="","",ROUND($I40*IF(ISNUMBER(Eingabe!$D$32),Eingabe!$D$32,0),2))</f>
        <v/>
      </c>
      <c r="K40" s="28">
        <f>IF($D40="","",$E40*$H40)</f>
        <v/>
      </c>
      <c r="L40" s="27">
        <f>IF($D40="","",ROUND($K40*IF(ISNUMBER(Eingabe!$D$31),Eingabe!$D$31,0),2))</f>
        <v/>
      </c>
      <c r="M40" s="27">
        <f>IF($D40="","",$I40+$J40+$L40)</f>
        <v/>
      </c>
      <c r="N40" s="27">
        <f>IF($D40="","",ROUND($M40*IF(ISNUMBER(Eingabe!$D$33),Eingabe!$D$33,0),2))</f>
        <v/>
      </c>
      <c r="O40" s="27">
        <f>IF($D40="","",ROUND($E40*$P40,2))</f>
        <v/>
      </c>
      <c r="P40" s="27">
        <f>IF($D40="","",IFERROR(ROUND(($M40+$N40)/$E40,2),0))</f>
        <v/>
      </c>
      <c r="Q40" s="13">
        <f>IF($D40="","",IF(ISNA(MATCH($D40,Katalog_Leistung,0)),IF(OR(Eingabe!G79="",NOT(ISNUMBER(Eingabe!H79)),NOT(ISNUMBER(Eingabe!I79))),"! Freie Position: Einheit, Material und Zeit in Spalte G, H und I eintragen",IF(NOT(ISNUMBER(Eingabe!E79)),"! Menge fehlt oder ist keine Zahl",IF($E40&lt;=0,"! Menge muss größer 0 sein","OK - freie Position"))),IF(COUNTIF(Katalog_Leistung,$D40)&gt;1,"! Leistung steht mehrfach im Katalog - siehe Stammdaten",IF(INDEX(Katalog_Kategorie,MATCH($D40,Katalog_Leistung,0))&lt;&gt;$C40,"! Kategorie passt nicht zur Leistung",IF(NOT(ISNUMBER(Eingabe!E79)),"! Menge fehlt oder ist keine Zahl",IF($E40&lt;=0,"! Menge muss größer 0 sein",IF(OR(Eingabe!G79&lt;&gt;"",ISNUMBER(Eingabe!H79),ISNUMBER(Eingabe!I79)),"OK - manueller Wert überschreibt Katalog","OK")))))))</f>
        <v/>
      </c>
    </row>
    <row r="41">
      <c r="A41" s="21">
        <f>IF($D41="","",Eingabe!A80)</f>
        <v/>
      </c>
      <c r="B41" s="13">
        <f>IF($D41="","",IF(Eingabe!B80="","",Eingabe!B80))</f>
        <v/>
      </c>
      <c r="C41" s="13">
        <f>IF($D41="","",IF(Eingabe!C80="","",Eingabe!C80))</f>
        <v/>
      </c>
      <c r="D41" s="13">
        <f>IF(Eingabe!D80="","",Eingabe!D80)</f>
        <v/>
      </c>
      <c r="E41" s="26">
        <f>IF($D41="","",IF(ISNUMBER(Eingabe!E80),Eingabe!E80,0))</f>
        <v/>
      </c>
      <c r="F41" s="21">
        <f>IF($D41="","",IF(Eingabe!G80&lt;&gt;"",Eingabe!G80,IFERROR(INDEX(Katalog_Einheit,MATCH($D41,Katalog_Leistung,0)),"?")))</f>
        <v/>
      </c>
      <c r="G41" s="27">
        <f>IF($D41="","",IF(ISNUMBER(Eingabe!H80),Eingabe!H80,IFERROR(INDEX(Katalog_Material,MATCH($D41,Katalog_Leistung,0)),0)*(1+IF(ISNUMBER(Eingabe!$D$39),Eingabe!$D$39,0))))</f>
        <v/>
      </c>
      <c r="H41" s="28">
        <f>IF($D41="","",IF(ISNUMBER(Eingabe!I80),Eingabe!I80,IFERROR(INDEX(Katalog_Zeit,MATCH($D41,Katalog_Leistung,0)),0)))</f>
        <v/>
      </c>
      <c r="I41" s="27">
        <f>IF($D41="","",ROUND($E41*$G41,2))</f>
        <v/>
      </c>
      <c r="J41" s="27">
        <f>IF($D41="","",ROUND($I41*IF(ISNUMBER(Eingabe!$D$32),Eingabe!$D$32,0),2))</f>
        <v/>
      </c>
      <c r="K41" s="28">
        <f>IF($D41="","",$E41*$H41)</f>
        <v/>
      </c>
      <c r="L41" s="27">
        <f>IF($D41="","",ROUND($K41*IF(ISNUMBER(Eingabe!$D$31),Eingabe!$D$31,0),2))</f>
        <v/>
      </c>
      <c r="M41" s="27">
        <f>IF($D41="","",$I41+$J41+$L41)</f>
        <v/>
      </c>
      <c r="N41" s="27">
        <f>IF($D41="","",ROUND($M41*IF(ISNUMBER(Eingabe!$D$33),Eingabe!$D$33,0),2))</f>
        <v/>
      </c>
      <c r="O41" s="27">
        <f>IF($D41="","",ROUND($E41*$P41,2))</f>
        <v/>
      </c>
      <c r="P41" s="27">
        <f>IF($D41="","",IFERROR(ROUND(($M41+$N41)/$E41,2),0))</f>
        <v/>
      </c>
      <c r="Q41" s="13">
        <f>IF($D41="","",IF(ISNA(MATCH($D41,Katalog_Leistung,0)),IF(OR(Eingabe!G80="",NOT(ISNUMBER(Eingabe!H80)),NOT(ISNUMBER(Eingabe!I80))),"! Freie Position: Einheit, Material und Zeit in Spalte G, H und I eintragen",IF(NOT(ISNUMBER(Eingabe!E80)),"! Menge fehlt oder ist keine Zahl",IF($E41&lt;=0,"! Menge muss größer 0 sein","OK - freie Position"))),IF(COUNTIF(Katalog_Leistung,$D41)&gt;1,"! Leistung steht mehrfach im Katalog - siehe Stammdaten",IF(INDEX(Katalog_Kategorie,MATCH($D41,Katalog_Leistung,0))&lt;&gt;$C41,"! Kategorie passt nicht zur Leistung",IF(NOT(ISNUMBER(Eingabe!E80)),"! Menge fehlt oder ist keine Zahl",IF($E41&lt;=0,"! Menge muss größer 0 sein",IF(OR(Eingabe!G80&lt;&gt;"",ISNUMBER(Eingabe!H80),ISNUMBER(Eingabe!I80)),"OK - manueller Wert überschreibt Katalog","OK")))))))</f>
        <v/>
      </c>
    </row>
    <row r="42">
      <c r="A42" s="21">
        <f>IF($D42="","",Eingabe!A81)</f>
        <v/>
      </c>
      <c r="B42" s="13">
        <f>IF($D42="","",IF(Eingabe!B81="","",Eingabe!B81))</f>
        <v/>
      </c>
      <c r="C42" s="13">
        <f>IF($D42="","",IF(Eingabe!C81="","",Eingabe!C81))</f>
        <v/>
      </c>
      <c r="D42" s="13">
        <f>IF(Eingabe!D81="","",Eingabe!D81)</f>
        <v/>
      </c>
      <c r="E42" s="26">
        <f>IF($D42="","",IF(ISNUMBER(Eingabe!E81),Eingabe!E81,0))</f>
        <v/>
      </c>
      <c r="F42" s="21">
        <f>IF($D42="","",IF(Eingabe!G81&lt;&gt;"",Eingabe!G81,IFERROR(INDEX(Katalog_Einheit,MATCH($D42,Katalog_Leistung,0)),"?")))</f>
        <v/>
      </c>
      <c r="G42" s="27">
        <f>IF($D42="","",IF(ISNUMBER(Eingabe!H81),Eingabe!H81,IFERROR(INDEX(Katalog_Material,MATCH($D42,Katalog_Leistung,0)),0)*(1+IF(ISNUMBER(Eingabe!$D$39),Eingabe!$D$39,0))))</f>
        <v/>
      </c>
      <c r="H42" s="28">
        <f>IF($D42="","",IF(ISNUMBER(Eingabe!I81),Eingabe!I81,IFERROR(INDEX(Katalog_Zeit,MATCH($D42,Katalog_Leistung,0)),0)))</f>
        <v/>
      </c>
      <c r="I42" s="27">
        <f>IF($D42="","",ROUND($E42*$G42,2))</f>
        <v/>
      </c>
      <c r="J42" s="27">
        <f>IF($D42="","",ROUND($I42*IF(ISNUMBER(Eingabe!$D$32),Eingabe!$D$32,0),2))</f>
        <v/>
      </c>
      <c r="K42" s="28">
        <f>IF($D42="","",$E42*$H42)</f>
        <v/>
      </c>
      <c r="L42" s="27">
        <f>IF($D42="","",ROUND($K42*IF(ISNUMBER(Eingabe!$D$31),Eingabe!$D$31,0),2))</f>
        <v/>
      </c>
      <c r="M42" s="27">
        <f>IF($D42="","",$I42+$J42+$L42)</f>
        <v/>
      </c>
      <c r="N42" s="27">
        <f>IF($D42="","",ROUND($M42*IF(ISNUMBER(Eingabe!$D$33),Eingabe!$D$33,0),2))</f>
        <v/>
      </c>
      <c r="O42" s="27">
        <f>IF($D42="","",ROUND($E42*$P42,2))</f>
        <v/>
      </c>
      <c r="P42" s="27">
        <f>IF($D42="","",IFERROR(ROUND(($M42+$N42)/$E42,2),0))</f>
        <v/>
      </c>
      <c r="Q42" s="13">
        <f>IF($D42="","",IF(ISNA(MATCH($D42,Katalog_Leistung,0)),IF(OR(Eingabe!G81="",NOT(ISNUMBER(Eingabe!H81)),NOT(ISNUMBER(Eingabe!I81))),"! Freie Position: Einheit, Material und Zeit in Spalte G, H und I eintragen",IF(NOT(ISNUMBER(Eingabe!E81)),"! Menge fehlt oder ist keine Zahl",IF($E42&lt;=0,"! Menge muss größer 0 sein","OK - freie Position"))),IF(COUNTIF(Katalog_Leistung,$D42)&gt;1,"! Leistung steht mehrfach im Katalog - siehe Stammdaten",IF(INDEX(Katalog_Kategorie,MATCH($D42,Katalog_Leistung,0))&lt;&gt;$C42,"! Kategorie passt nicht zur Leistung",IF(NOT(ISNUMBER(Eingabe!E81)),"! Menge fehlt oder ist keine Zahl",IF($E42&lt;=0,"! Menge muss größer 0 sein",IF(OR(Eingabe!G81&lt;&gt;"",ISNUMBER(Eingabe!H81),ISNUMBER(Eingabe!I81)),"OK - manueller Wert überschreibt Katalog","OK")))))))</f>
        <v/>
      </c>
    </row>
    <row r="43">
      <c r="A43" s="21">
        <f>IF($D43="","",Eingabe!A82)</f>
        <v/>
      </c>
      <c r="B43" s="13">
        <f>IF($D43="","",IF(Eingabe!B82="","",Eingabe!B82))</f>
        <v/>
      </c>
      <c r="C43" s="13">
        <f>IF($D43="","",IF(Eingabe!C82="","",Eingabe!C82))</f>
        <v/>
      </c>
      <c r="D43" s="13">
        <f>IF(Eingabe!D82="","",Eingabe!D82)</f>
        <v/>
      </c>
      <c r="E43" s="26">
        <f>IF($D43="","",IF(ISNUMBER(Eingabe!E82),Eingabe!E82,0))</f>
        <v/>
      </c>
      <c r="F43" s="21">
        <f>IF($D43="","",IF(Eingabe!G82&lt;&gt;"",Eingabe!G82,IFERROR(INDEX(Katalog_Einheit,MATCH($D43,Katalog_Leistung,0)),"?")))</f>
        <v/>
      </c>
      <c r="G43" s="27">
        <f>IF($D43="","",IF(ISNUMBER(Eingabe!H82),Eingabe!H82,IFERROR(INDEX(Katalog_Material,MATCH($D43,Katalog_Leistung,0)),0)*(1+IF(ISNUMBER(Eingabe!$D$39),Eingabe!$D$39,0))))</f>
        <v/>
      </c>
      <c r="H43" s="28">
        <f>IF($D43="","",IF(ISNUMBER(Eingabe!I82),Eingabe!I82,IFERROR(INDEX(Katalog_Zeit,MATCH($D43,Katalog_Leistung,0)),0)))</f>
        <v/>
      </c>
      <c r="I43" s="27">
        <f>IF($D43="","",ROUND($E43*$G43,2))</f>
        <v/>
      </c>
      <c r="J43" s="27">
        <f>IF($D43="","",ROUND($I43*IF(ISNUMBER(Eingabe!$D$32),Eingabe!$D$32,0),2))</f>
        <v/>
      </c>
      <c r="K43" s="28">
        <f>IF($D43="","",$E43*$H43)</f>
        <v/>
      </c>
      <c r="L43" s="27">
        <f>IF($D43="","",ROUND($K43*IF(ISNUMBER(Eingabe!$D$31),Eingabe!$D$31,0),2))</f>
        <v/>
      </c>
      <c r="M43" s="27">
        <f>IF($D43="","",$I43+$J43+$L43)</f>
        <v/>
      </c>
      <c r="N43" s="27">
        <f>IF($D43="","",ROUND($M43*IF(ISNUMBER(Eingabe!$D$33),Eingabe!$D$33,0),2))</f>
        <v/>
      </c>
      <c r="O43" s="27">
        <f>IF($D43="","",ROUND($E43*$P43,2))</f>
        <v/>
      </c>
      <c r="P43" s="27">
        <f>IF($D43="","",IFERROR(ROUND(($M43+$N43)/$E43,2),0))</f>
        <v/>
      </c>
      <c r="Q43" s="13">
        <f>IF($D43="","",IF(ISNA(MATCH($D43,Katalog_Leistung,0)),IF(OR(Eingabe!G82="",NOT(ISNUMBER(Eingabe!H82)),NOT(ISNUMBER(Eingabe!I82))),"! Freie Position: Einheit, Material und Zeit in Spalte G, H und I eintragen",IF(NOT(ISNUMBER(Eingabe!E82)),"! Menge fehlt oder ist keine Zahl",IF($E43&lt;=0,"! Menge muss größer 0 sein","OK - freie Position"))),IF(COUNTIF(Katalog_Leistung,$D43)&gt;1,"! Leistung steht mehrfach im Katalog - siehe Stammdaten",IF(INDEX(Katalog_Kategorie,MATCH($D43,Katalog_Leistung,0))&lt;&gt;$C43,"! Kategorie passt nicht zur Leistung",IF(NOT(ISNUMBER(Eingabe!E82)),"! Menge fehlt oder ist keine Zahl",IF($E43&lt;=0,"! Menge muss größer 0 sein",IF(OR(Eingabe!G82&lt;&gt;"",ISNUMBER(Eingabe!H82),ISNUMBER(Eingabe!I82)),"OK - manueller Wert überschreibt Katalog","OK")))))))</f>
        <v/>
      </c>
    </row>
    <row r="44">
      <c r="A44" s="21">
        <f>IF($D44="","",Eingabe!A83)</f>
        <v/>
      </c>
      <c r="B44" s="13">
        <f>IF($D44="","",IF(Eingabe!B83="","",Eingabe!B83))</f>
        <v/>
      </c>
      <c r="C44" s="13">
        <f>IF($D44="","",IF(Eingabe!C83="","",Eingabe!C83))</f>
        <v/>
      </c>
      <c r="D44" s="13">
        <f>IF(Eingabe!D83="","",Eingabe!D83)</f>
        <v/>
      </c>
      <c r="E44" s="26">
        <f>IF($D44="","",IF(ISNUMBER(Eingabe!E83),Eingabe!E83,0))</f>
        <v/>
      </c>
      <c r="F44" s="21">
        <f>IF($D44="","",IF(Eingabe!G83&lt;&gt;"",Eingabe!G83,IFERROR(INDEX(Katalog_Einheit,MATCH($D44,Katalog_Leistung,0)),"?")))</f>
        <v/>
      </c>
      <c r="G44" s="27">
        <f>IF($D44="","",IF(ISNUMBER(Eingabe!H83),Eingabe!H83,IFERROR(INDEX(Katalog_Material,MATCH($D44,Katalog_Leistung,0)),0)*(1+IF(ISNUMBER(Eingabe!$D$39),Eingabe!$D$39,0))))</f>
        <v/>
      </c>
      <c r="H44" s="28">
        <f>IF($D44="","",IF(ISNUMBER(Eingabe!I83),Eingabe!I83,IFERROR(INDEX(Katalog_Zeit,MATCH($D44,Katalog_Leistung,0)),0)))</f>
        <v/>
      </c>
      <c r="I44" s="27">
        <f>IF($D44="","",ROUND($E44*$G44,2))</f>
        <v/>
      </c>
      <c r="J44" s="27">
        <f>IF($D44="","",ROUND($I44*IF(ISNUMBER(Eingabe!$D$32),Eingabe!$D$32,0),2))</f>
        <v/>
      </c>
      <c r="K44" s="28">
        <f>IF($D44="","",$E44*$H44)</f>
        <v/>
      </c>
      <c r="L44" s="27">
        <f>IF($D44="","",ROUND($K44*IF(ISNUMBER(Eingabe!$D$31),Eingabe!$D$31,0),2))</f>
        <v/>
      </c>
      <c r="M44" s="27">
        <f>IF($D44="","",$I44+$J44+$L44)</f>
        <v/>
      </c>
      <c r="N44" s="27">
        <f>IF($D44="","",ROUND($M44*IF(ISNUMBER(Eingabe!$D$33),Eingabe!$D$33,0),2))</f>
        <v/>
      </c>
      <c r="O44" s="27">
        <f>IF($D44="","",ROUND($E44*$P44,2))</f>
        <v/>
      </c>
      <c r="P44" s="27">
        <f>IF($D44="","",IFERROR(ROUND(($M44+$N44)/$E44,2),0))</f>
        <v/>
      </c>
      <c r="Q44" s="13">
        <f>IF($D44="","",IF(ISNA(MATCH($D44,Katalog_Leistung,0)),IF(OR(Eingabe!G83="",NOT(ISNUMBER(Eingabe!H83)),NOT(ISNUMBER(Eingabe!I83))),"! Freie Position: Einheit, Material und Zeit in Spalte G, H und I eintragen",IF(NOT(ISNUMBER(Eingabe!E83)),"! Menge fehlt oder ist keine Zahl",IF($E44&lt;=0,"! Menge muss größer 0 sein","OK - freie Position"))),IF(COUNTIF(Katalog_Leistung,$D44)&gt;1,"! Leistung steht mehrfach im Katalog - siehe Stammdaten",IF(INDEX(Katalog_Kategorie,MATCH($D44,Katalog_Leistung,0))&lt;&gt;$C44,"! Kategorie passt nicht zur Leistung",IF(NOT(ISNUMBER(Eingabe!E83)),"! Menge fehlt oder ist keine Zahl",IF($E44&lt;=0,"! Menge muss größer 0 sein",IF(OR(Eingabe!G83&lt;&gt;"",ISNUMBER(Eingabe!H83),ISNUMBER(Eingabe!I83)),"OK - manueller Wert überschreibt Katalog","OK")))))))</f>
        <v/>
      </c>
    </row>
    <row r="45">
      <c r="A45" s="21">
        <f>IF($D45="","",Eingabe!A84)</f>
        <v/>
      </c>
      <c r="B45" s="13">
        <f>IF($D45="","",IF(Eingabe!B84="","",Eingabe!B84))</f>
        <v/>
      </c>
      <c r="C45" s="13">
        <f>IF($D45="","",IF(Eingabe!C84="","",Eingabe!C84))</f>
        <v/>
      </c>
      <c r="D45" s="13">
        <f>IF(Eingabe!D84="","",Eingabe!D84)</f>
        <v/>
      </c>
      <c r="E45" s="26">
        <f>IF($D45="","",IF(ISNUMBER(Eingabe!E84),Eingabe!E84,0))</f>
        <v/>
      </c>
      <c r="F45" s="21">
        <f>IF($D45="","",IF(Eingabe!G84&lt;&gt;"",Eingabe!G84,IFERROR(INDEX(Katalog_Einheit,MATCH($D45,Katalog_Leistung,0)),"?")))</f>
        <v/>
      </c>
      <c r="G45" s="27">
        <f>IF($D45="","",IF(ISNUMBER(Eingabe!H84),Eingabe!H84,IFERROR(INDEX(Katalog_Material,MATCH($D45,Katalog_Leistung,0)),0)*(1+IF(ISNUMBER(Eingabe!$D$39),Eingabe!$D$39,0))))</f>
        <v/>
      </c>
      <c r="H45" s="28">
        <f>IF($D45="","",IF(ISNUMBER(Eingabe!I84),Eingabe!I84,IFERROR(INDEX(Katalog_Zeit,MATCH($D45,Katalog_Leistung,0)),0)))</f>
        <v/>
      </c>
      <c r="I45" s="27">
        <f>IF($D45="","",ROUND($E45*$G45,2))</f>
        <v/>
      </c>
      <c r="J45" s="27">
        <f>IF($D45="","",ROUND($I45*IF(ISNUMBER(Eingabe!$D$32),Eingabe!$D$32,0),2))</f>
        <v/>
      </c>
      <c r="K45" s="28">
        <f>IF($D45="","",$E45*$H45)</f>
        <v/>
      </c>
      <c r="L45" s="27">
        <f>IF($D45="","",ROUND($K45*IF(ISNUMBER(Eingabe!$D$31),Eingabe!$D$31,0),2))</f>
        <v/>
      </c>
      <c r="M45" s="27">
        <f>IF($D45="","",$I45+$J45+$L45)</f>
        <v/>
      </c>
      <c r="N45" s="27">
        <f>IF($D45="","",ROUND($M45*IF(ISNUMBER(Eingabe!$D$33),Eingabe!$D$33,0),2))</f>
        <v/>
      </c>
      <c r="O45" s="27">
        <f>IF($D45="","",ROUND($E45*$P45,2))</f>
        <v/>
      </c>
      <c r="P45" s="27">
        <f>IF($D45="","",IFERROR(ROUND(($M45+$N45)/$E45,2),0))</f>
        <v/>
      </c>
      <c r="Q45" s="13">
        <f>IF($D45="","",IF(ISNA(MATCH($D45,Katalog_Leistung,0)),IF(OR(Eingabe!G84="",NOT(ISNUMBER(Eingabe!H84)),NOT(ISNUMBER(Eingabe!I84))),"! Freie Position: Einheit, Material und Zeit in Spalte G, H und I eintragen",IF(NOT(ISNUMBER(Eingabe!E84)),"! Menge fehlt oder ist keine Zahl",IF($E45&lt;=0,"! Menge muss größer 0 sein","OK - freie Position"))),IF(COUNTIF(Katalog_Leistung,$D45)&gt;1,"! Leistung steht mehrfach im Katalog - siehe Stammdaten",IF(INDEX(Katalog_Kategorie,MATCH($D45,Katalog_Leistung,0))&lt;&gt;$C45,"! Kategorie passt nicht zur Leistung",IF(NOT(ISNUMBER(Eingabe!E84)),"! Menge fehlt oder ist keine Zahl",IF($E45&lt;=0,"! Menge muss größer 0 sein",IF(OR(Eingabe!G84&lt;&gt;"",ISNUMBER(Eingabe!H84),ISNUMBER(Eingabe!I84)),"OK - manueller Wert überschreibt Katalog","OK")))))))</f>
        <v/>
      </c>
    </row>
    <row r="46">
      <c r="A46" s="21">
        <f>IF($D46="","",Eingabe!A85)</f>
        <v/>
      </c>
      <c r="B46" s="13">
        <f>IF($D46="","",IF(Eingabe!B85="","",Eingabe!B85))</f>
        <v/>
      </c>
      <c r="C46" s="13">
        <f>IF($D46="","",IF(Eingabe!C85="","",Eingabe!C85))</f>
        <v/>
      </c>
      <c r="D46" s="13">
        <f>IF(Eingabe!D85="","",Eingabe!D85)</f>
        <v/>
      </c>
      <c r="E46" s="26">
        <f>IF($D46="","",IF(ISNUMBER(Eingabe!E85),Eingabe!E85,0))</f>
        <v/>
      </c>
      <c r="F46" s="21">
        <f>IF($D46="","",IF(Eingabe!G85&lt;&gt;"",Eingabe!G85,IFERROR(INDEX(Katalog_Einheit,MATCH($D46,Katalog_Leistung,0)),"?")))</f>
        <v/>
      </c>
      <c r="G46" s="27">
        <f>IF($D46="","",IF(ISNUMBER(Eingabe!H85),Eingabe!H85,IFERROR(INDEX(Katalog_Material,MATCH($D46,Katalog_Leistung,0)),0)*(1+IF(ISNUMBER(Eingabe!$D$39),Eingabe!$D$39,0))))</f>
        <v/>
      </c>
      <c r="H46" s="28">
        <f>IF($D46="","",IF(ISNUMBER(Eingabe!I85),Eingabe!I85,IFERROR(INDEX(Katalog_Zeit,MATCH($D46,Katalog_Leistung,0)),0)))</f>
        <v/>
      </c>
      <c r="I46" s="27">
        <f>IF($D46="","",ROUND($E46*$G46,2))</f>
        <v/>
      </c>
      <c r="J46" s="27">
        <f>IF($D46="","",ROUND($I46*IF(ISNUMBER(Eingabe!$D$32),Eingabe!$D$32,0),2))</f>
        <v/>
      </c>
      <c r="K46" s="28">
        <f>IF($D46="","",$E46*$H46)</f>
        <v/>
      </c>
      <c r="L46" s="27">
        <f>IF($D46="","",ROUND($K46*IF(ISNUMBER(Eingabe!$D$31),Eingabe!$D$31,0),2))</f>
        <v/>
      </c>
      <c r="M46" s="27">
        <f>IF($D46="","",$I46+$J46+$L46)</f>
        <v/>
      </c>
      <c r="N46" s="27">
        <f>IF($D46="","",ROUND($M46*IF(ISNUMBER(Eingabe!$D$33),Eingabe!$D$33,0),2))</f>
        <v/>
      </c>
      <c r="O46" s="27">
        <f>IF($D46="","",ROUND($E46*$P46,2))</f>
        <v/>
      </c>
      <c r="P46" s="27">
        <f>IF($D46="","",IFERROR(ROUND(($M46+$N46)/$E46,2),0))</f>
        <v/>
      </c>
      <c r="Q46" s="13">
        <f>IF($D46="","",IF(ISNA(MATCH($D46,Katalog_Leistung,0)),IF(OR(Eingabe!G85="",NOT(ISNUMBER(Eingabe!H85)),NOT(ISNUMBER(Eingabe!I85))),"! Freie Position: Einheit, Material und Zeit in Spalte G, H und I eintragen",IF(NOT(ISNUMBER(Eingabe!E85)),"! Menge fehlt oder ist keine Zahl",IF($E46&lt;=0,"! Menge muss größer 0 sein","OK - freie Position"))),IF(COUNTIF(Katalog_Leistung,$D46)&gt;1,"! Leistung steht mehrfach im Katalog - siehe Stammdaten",IF(INDEX(Katalog_Kategorie,MATCH($D46,Katalog_Leistung,0))&lt;&gt;$C46,"! Kategorie passt nicht zur Leistung",IF(NOT(ISNUMBER(Eingabe!E85)),"! Menge fehlt oder ist keine Zahl",IF($E46&lt;=0,"! Menge muss größer 0 sein",IF(OR(Eingabe!G85&lt;&gt;"",ISNUMBER(Eingabe!H85),ISNUMBER(Eingabe!I85)),"OK - manueller Wert überschreibt Katalog","OK")))))))</f>
        <v/>
      </c>
    </row>
    <row r="47">
      <c r="A47" s="21">
        <f>IF($D47="","",Eingabe!A86)</f>
        <v/>
      </c>
      <c r="B47" s="13">
        <f>IF($D47="","",IF(Eingabe!B86="","",Eingabe!B86))</f>
        <v/>
      </c>
      <c r="C47" s="13">
        <f>IF($D47="","",IF(Eingabe!C86="","",Eingabe!C86))</f>
        <v/>
      </c>
      <c r="D47" s="13">
        <f>IF(Eingabe!D86="","",Eingabe!D86)</f>
        <v/>
      </c>
      <c r="E47" s="26">
        <f>IF($D47="","",IF(ISNUMBER(Eingabe!E86),Eingabe!E86,0))</f>
        <v/>
      </c>
      <c r="F47" s="21">
        <f>IF($D47="","",IF(Eingabe!G86&lt;&gt;"",Eingabe!G86,IFERROR(INDEX(Katalog_Einheit,MATCH($D47,Katalog_Leistung,0)),"?")))</f>
        <v/>
      </c>
      <c r="G47" s="27">
        <f>IF($D47="","",IF(ISNUMBER(Eingabe!H86),Eingabe!H86,IFERROR(INDEX(Katalog_Material,MATCH($D47,Katalog_Leistung,0)),0)*(1+IF(ISNUMBER(Eingabe!$D$39),Eingabe!$D$39,0))))</f>
        <v/>
      </c>
      <c r="H47" s="28">
        <f>IF($D47="","",IF(ISNUMBER(Eingabe!I86),Eingabe!I86,IFERROR(INDEX(Katalog_Zeit,MATCH($D47,Katalog_Leistung,0)),0)))</f>
        <v/>
      </c>
      <c r="I47" s="27">
        <f>IF($D47="","",ROUND($E47*$G47,2))</f>
        <v/>
      </c>
      <c r="J47" s="27">
        <f>IF($D47="","",ROUND($I47*IF(ISNUMBER(Eingabe!$D$32),Eingabe!$D$32,0),2))</f>
        <v/>
      </c>
      <c r="K47" s="28">
        <f>IF($D47="","",$E47*$H47)</f>
        <v/>
      </c>
      <c r="L47" s="27">
        <f>IF($D47="","",ROUND($K47*IF(ISNUMBER(Eingabe!$D$31),Eingabe!$D$31,0),2))</f>
        <v/>
      </c>
      <c r="M47" s="27">
        <f>IF($D47="","",$I47+$J47+$L47)</f>
        <v/>
      </c>
      <c r="N47" s="27">
        <f>IF($D47="","",ROUND($M47*IF(ISNUMBER(Eingabe!$D$33),Eingabe!$D$33,0),2))</f>
        <v/>
      </c>
      <c r="O47" s="27">
        <f>IF($D47="","",ROUND($E47*$P47,2))</f>
        <v/>
      </c>
      <c r="P47" s="27">
        <f>IF($D47="","",IFERROR(ROUND(($M47+$N47)/$E47,2),0))</f>
        <v/>
      </c>
      <c r="Q47" s="13">
        <f>IF($D47="","",IF(ISNA(MATCH($D47,Katalog_Leistung,0)),IF(OR(Eingabe!G86="",NOT(ISNUMBER(Eingabe!H86)),NOT(ISNUMBER(Eingabe!I86))),"! Freie Position: Einheit, Material und Zeit in Spalte G, H und I eintragen",IF(NOT(ISNUMBER(Eingabe!E86)),"! Menge fehlt oder ist keine Zahl",IF($E47&lt;=0,"! Menge muss größer 0 sein","OK - freie Position"))),IF(COUNTIF(Katalog_Leistung,$D47)&gt;1,"! Leistung steht mehrfach im Katalog - siehe Stammdaten",IF(INDEX(Katalog_Kategorie,MATCH($D47,Katalog_Leistung,0))&lt;&gt;$C47,"! Kategorie passt nicht zur Leistung",IF(NOT(ISNUMBER(Eingabe!E86)),"! Menge fehlt oder ist keine Zahl",IF($E47&lt;=0,"! Menge muss größer 0 sein",IF(OR(Eingabe!G86&lt;&gt;"",ISNUMBER(Eingabe!H86),ISNUMBER(Eingabe!I86)),"OK - manueller Wert überschreibt Katalog","OK")))))))</f>
        <v/>
      </c>
    </row>
    <row r="48">
      <c r="A48" s="21">
        <f>IF($D48="","",Eingabe!A87)</f>
        <v/>
      </c>
      <c r="B48" s="13">
        <f>IF($D48="","",IF(Eingabe!B87="","",Eingabe!B87))</f>
        <v/>
      </c>
      <c r="C48" s="13">
        <f>IF($D48="","",IF(Eingabe!C87="","",Eingabe!C87))</f>
        <v/>
      </c>
      <c r="D48" s="13">
        <f>IF(Eingabe!D87="","",Eingabe!D87)</f>
        <v/>
      </c>
      <c r="E48" s="26">
        <f>IF($D48="","",IF(ISNUMBER(Eingabe!E87),Eingabe!E87,0))</f>
        <v/>
      </c>
      <c r="F48" s="21">
        <f>IF($D48="","",IF(Eingabe!G87&lt;&gt;"",Eingabe!G87,IFERROR(INDEX(Katalog_Einheit,MATCH($D48,Katalog_Leistung,0)),"?")))</f>
        <v/>
      </c>
      <c r="G48" s="27">
        <f>IF($D48="","",IF(ISNUMBER(Eingabe!H87),Eingabe!H87,IFERROR(INDEX(Katalog_Material,MATCH($D48,Katalog_Leistung,0)),0)*(1+IF(ISNUMBER(Eingabe!$D$39),Eingabe!$D$39,0))))</f>
        <v/>
      </c>
      <c r="H48" s="28">
        <f>IF($D48="","",IF(ISNUMBER(Eingabe!I87),Eingabe!I87,IFERROR(INDEX(Katalog_Zeit,MATCH($D48,Katalog_Leistung,0)),0)))</f>
        <v/>
      </c>
      <c r="I48" s="27">
        <f>IF($D48="","",ROUND($E48*$G48,2))</f>
        <v/>
      </c>
      <c r="J48" s="27">
        <f>IF($D48="","",ROUND($I48*IF(ISNUMBER(Eingabe!$D$32),Eingabe!$D$32,0),2))</f>
        <v/>
      </c>
      <c r="K48" s="28">
        <f>IF($D48="","",$E48*$H48)</f>
        <v/>
      </c>
      <c r="L48" s="27">
        <f>IF($D48="","",ROUND($K48*IF(ISNUMBER(Eingabe!$D$31),Eingabe!$D$31,0),2))</f>
        <v/>
      </c>
      <c r="M48" s="27">
        <f>IF($D48="","",$I48+$J48+$L48)</f>
        <v/>
      </c>
      <c r="N48" s="27">
        <f>IF($D48="","",ROUND($M48*IF(ISNUMBER(Eingabe!$D$33),Eingabe!$D$33,0),2))</f>
        <v/>
      </c>
      <c r="O48" s="27">
        <f>IF($D48="","",ROUND($E48*$P48,2))</f>
        <v/>
      </c>
      <c r="P48" s="27">
        <f>IF($D48="","",IFERROR(ROUND(($M48+$N48)/$E48,2),0))</f>
        <v/>
      </c>
      <c r="Q48" s="13">
        <f>IF($D48="","",IF(ISNA(MATCH($D48,Katalog_Leistung,0)),IF(OR(Eingabe!G87="",NOT(ISNUMBER(Eingabe!H87)),NOT(ISNUMBER(Eingabe!I87))),"! Freie Position: Einheit, Material und Zeit in Spalte G, H und I eintragen",IF(NOT(ISNUMBER(Eingabe!E87)),"! Menge fehlt oder ist keine Zahl",IF($E48&lt;=0,"! Menge muss größer 0 sein","OK - freie Position"))),IF(COUNTIF(Katalog_Leistung,$D48)&gt;1,"! Leistung steht mehrfach im Katalog - siehe Stammdaten",IF(INDEX(Katalog_Kategorie,MATCH($D48,Katalog_Leistung,0))&lt;&gt;$C48,"! Kategorie passt nicht zur Leistung",IF(NOT(ISNUMBER(Eingabe!E87)),"! Menge fehlt oder ist keine Zahl",IF($E48&lt;=0,"! Menge muss größer 0 sein",IF(OR(Eingabe!G87&lt;&gt;"",ISNUMBER(Eingabe!H87),ISNUMBER(Eingabe!I87)),"OK - manueller Wert überschreibt Katalog","OK")))))))</f>
        <v/>
      </c>
    </row>
    <row r="49">
      <c r="A49" s="21">
        <f>IF($D49="","",Eingabe!A88)</f>
        <v/>
      </c>
      <c r="B49" s="13">
        <f>IF($D49="","",IF(Eingabe!B88="","",Eingabe!B88))</f>
        <v/>
      </c>
      <c r="C49" s="13">
        <f>IF($D49="","",IF(Eingabe!C88="","",Eingabe!C88))</f>
        <v/>
      </c>
      <c r="D49" s="13">
        <f>IF(Eingabe!D88="","",Eingabe!D88)</f>
        <v/>
      </c>
      <c r="E49" s="26">
        <f>IF($D49="","",IF(ISNUMBER(Eingabe!E88),Eingabe!E88,0))</f>
        <v/>
      </c>
      <c r="F49" s="21">
        <f>IF($D49="","",IF(Eingabe!G88&lt;&gt;"",Eingabe!G88,IFERROR(INDEX(Katalog_Einheit,MATCH($D49,Katalog_Leistung,0)),"?")))</f>
        <v/>
      </c>
      <c r="G49" s="27">
        <f>IF($D49="","",IF(ISNUMBER(Eingabe!H88),Eingabe!H88,IFERROR(INDEX(Katalog_Material,MATCH($D49,Katalog_Leistung,0)),0)*(1+IF(ISNUMBER(Eingabe!$D$39),Eingabe!$D$39,0))))</f>
        <v/>
      </c>
      <c r="H49" s="28">
        <f>IF($D49="","",IF(ISNUMBER(Eingabe!I88),Eingabe!I88,IFERROR(INDEX(Katalog_Zeit,MATCH($D49,Katalog_Leistung,0)),0)))</f>
        <v/>
      </c>
      <c r="I49" s="27">
        <f>IF($D49="","",ROUND($E49*$G49,2))</f>
        <v/>
      </c>
      <c r="J49" s="27">
        <f>IF($D49="","",ROUND($I49*IF(ISNUMBER(Eingabe!$D$32),Eingabe!$D$32,0),2))</f>
        <v/>
      </c>
      <c r="K49" s="28">
        <f>IF($D49="","",$E49*$H49)</f>
        <v/>
      </c>
      <c r="L49" s="27">
        <f>IF($D49="","",ROUND($K49*IF(ISNUMBER(Eingabe!$D$31),Eingabe!$D$31,0),2))</f>
        <v/>
      </c>
      <c r="M49" s="27">
        <f>IF($D49="","",$I49+$J49+$L49)</f>
        <v/>
      </c>
      <c r="N49" s="27">
        <f>IF($D49="","",ROUND($M49*IF(ISNUMBER(Eingabe!$D$33),Eingabe!$D$33,0),2))</f>
        <v/>
      </c>
      <c r="O49" s="27">
        <f>IF($D49="","",ROUND($E49*$P49,2))</f>
        <v/>
      </c>
      <c r="P49" s="27">
        <f>IF($D49="","",IFERROR(ROUND(($M49+$N49)/$E49,2),0))</f>
        <v/>
      </c>
      <c r="Q49" s="13">
        <f>IF($D49="","",IF(ISNA(MATCH($D49,Katalog_Leistung,0)),IF(OR(Eingabe!G88="",NOT(ISNUMBER(Eingabe!H88)),NOT(ISNUMBER(Eingabe!I88))),"! Freie Position: Einheit, Material und Zeit in Spalte G, H und I eintragen",IF(NOT(ISNUMBER(Eingabe!E88)),"! Menge fehlt oder ist keine Zahl",IF($E49&lt;=0,"! Menge muss größer 0 sein","OK - freie Position"))),IF(COUNTIF(Katalog_Leistung,$D49)&gt;1,"! Leistung steht mehrfach im Katalog - siehe Stammdaten",IF(INDEX(Katalog_Kategorie,MATCH($D49,Katalog_Leistung,0))&lt;&gt;$C49,"! Kategorie passt nicht zur Leistung",IF(NOT(ISNUMBER(Eingabe!E88)),"! Menge fehlt oder ist keine Zahl",IF($E49&lt;=0,"! Menge muss größer 0 sein",IF(OR(Eingabe!G88&lt;&gt;"",ISNUMBER(Eingabe!H88),ISNUMBER(Eingabe!I88)),"OK - manueller Wert überschreibt Katalog","OK")))))))</f>
        <v/>
      </c>
    </row>
    <row r="50">
      <c r="A50" s="21">
        <f>IF($D50="","",Eingabe!A89)</f>
        <v/>
      </c>
      <c r="B50" s="13">
        <f>IF($D50="","",IF(Eingabe!B89="","",Eingabe!B89))</f>
        <v/>
      </c>
      <c r="C50" s="13">
        <f>IF($D50="","",IF(Eingabe!C89="","",Eingabe!C89))</f>
        <v/>
      </c>
      <c r="D50" s="13">
        <f>IF(Eingabe!D89="","",Eingabe!D89)</f>
        <v/>
      </c>
      <c r="E50" s="26">
        <f>IF($D50="","",IF(ISNUMBER(Eingabe!E89),Eingabe!E89,0))</f>
        <v/>
      </c>
      <c r="F50" s="21">
        <f>IF($D50="","",IF(Eingabe!G89&lt;&gt;"",Eingabe!G89,IFERROR(INDEX(Katalog_Einheit,MATCH($D50,Katalog_Leistung,0)),"?")))</f>
        <v/>
      </c>
      <c r="G50" s="27">
        <f>IF($D50="","",IF(ISNUMBER(Eingabe!H89),Eingabe!H89,IFERROR(INDEX(Katalog_Material,MATCH($D50,Katalog_Leistung,0)),0)*(1+IF(ISNUMBER(Eingabe!$D$39),Eingabe!$D$39,0))))</f>
        <v/>
      </c>
      <c r="H50" s="28">
        <f>IF($D50="","",IF(ISNUMBER(Eingabe!I89),Eingabe!I89,IFERROR(INDEX(Katalog_Zeit,MATCH($D50,Katalog_Leistung,0)),0)))</f>
        <v/>
      </c>
      <c r="I50" s="27">
        <f>IF($D50="","",ROUND($E50*$G50,2))</f>
        <v/>
      </c>
      <c r="J50" s="27">
        <f>IF($D50="","",ROUND($I50*IF(ISNUMBER(Eingabe!$D$32),Eingabe!$D$32,0),2))</f>
        <v/>
      </c>
      <c r="K50" s="28">
        <f>IF($D50="","",$E50*$H50)</f>
        <v/>
      </c>
      <c r="L50" s="27">
        <f>IF($D50="","",ROUND($K50*IF(ISNUMBER(Eingabe!$D$31),Eingabe!$D$31,0),2))</f>
        <v/>
      </c>
      <c r="M50" s="27">
        <f>IF($D50="","",$I50+$J50+$L50)</f>
        <v/>
      </c>
      <c r="N50" s="27">
        <f>IF($D50="","",ROUND($M50*IF(ISNUMBER(Eingabe!$D$33),Eingabe!$D$33,0),2))</f>
        <v/>
      </c>
      <c r="O50" s="27">
        <f>IF($D50="","",ROUND($E50*$P50,2))</f>
        <v/>
      </c>
      <c r="P50" s="27">
        <f>IF($D50="","",IFERROR(ROUND(($M50+$N50)/$E50,2),0))</f>
        <v/>
      </c>
      <c r="Q50" s="13">
        <f>IF($D50="","",IF(ISNA(MATCH($D50,Katalog_Leistung,0)),IF(OR(Eingabe!G89="",NOT(ISNUMBER(Eingabe!H89)),NOT(ISNUMBER(Eingabe!I89))),"! Freie Position: Einheit, Material und Zeit in Spalte G, H und I eintragen",IF(NOT(ISNUMBER(Eingabe!E89)),"! Menge fehlt oder ist keine Zahl",IF($E50&lt;=0,"! Menge muss größer 0 sein","OK - freie Position"))),IF(COUNTIF(Katalog_Leistung,$D50)&gt;1,"! Leistung steht mehrfach im Katalog - siehe Stammdaten",IF(INDEX(Katalog_Kategorie,MATCH($D50,Katalog_Leistung,0))&lt;&gt;$C50,"! Kategorie passt nicht zur Leistung",IF(NOT(ISNUMBER(Eingabe!E89)),"! Menge fehlt oder ist keine Zahl",IF($E50&lt;=0,"! Menge muss größer 0 sein",IF(OR(Eingabe!G89&lt;&gt;"",ISNUMBER(Eingabe!H89),ISNUMBER(Eingabe!I89)),"OK - manueller Wert überschreibt Katalog","OK")))))))</f>
        <v/>
      </c>
    </row>
    <row r="51">
      <c r="A51" s="21">
        <f>IF($D51="","",Eingabe!A90)</f>
        <v/>
      </c>
      <c r="B51" s="13">
        <f>IF($D51="","",IF(Eingabe!B90="","",Eingabe!B90))</f>
        <v/>
      </c>
      <c r="C51" s="13">
        <f>IF($D51="","",IF(Eingabe!C90="","",Eingabe!C90))</f>
        <v/>
      </c>
      <c r="D51" s="13">
        <f>IF(Eingabe!D90="","",Eingabe!D90)</f>
        <v/>
      </c>
      <c r="E51" s="26">
        <f>IF($D51="","",IF(ISNUMBER(Eingabe!E90),Eingabe!E90,0))</f>
        <v/>
      </c>
      <c r="F51" s="21">
        <f>IF($D51="","",IF(Eingabe!G90&lt;&gt;"",Eingabe!G90,IFERROR(INDEX(Katalog_Einheit,MATCH($D51,Katalog_Leistung,0)),"?")))</f>
        <v/>
      </c>
      <c r="G51" s="27">
        <f>IF($D51="","",IF(ISNUMBER(Eingabe!H90),Eingabe!H90,IFERROR(INDEX(Katalog_Material,MATCH($D51,Katalog_Leistung,0)),0)*(1+IF(ISNUMBER(Eingabe!$D$39),Eingabe!$D$39,0))))</f>
        <v/>
      </c>
      <c r="H51" s="28">
        <f>IF($D51="","",IF(ISNUMBER(Eingabe!I90),Eingabe!I90,IFERROR(INDEX(Katalog_Zeit,MATCH($D51,Katalog_Leistung,0)),0)))</f>
        <v/>
      </c>
      <c r="I51" s="27">
        <f>IF($D51="","",ROUND($E51*$G51,2))</f>
        <v/>
      </c>
      <c r="J51" s="27">
        <f>IF($D51="","",ROUND($I51*IF(ISNUMBER(Eingabe!$D$32),Eingabe!$D$32,0),2))</f>
        <v/>
      </c>
      <c r="K51" s="28">
        <f>IF($D51="","",$E51*$H51)</f>
        <v/>
      </c>
      <c r="L51" s="27">
        <f>IF($D51="","",ROUND($K51*IF(ISNUMBER(Eingabe!$D$31),Eingabe!$D$31,0),2))</f>
        <v/>
      </c>
      <c r="M51" s="27">
        <f>IF($D51="","",$I51+$J51+$L51)</f>
        <v/>
      </c>
      <c r="N51" s="27">
        <f>IF($D51="","",ROUND($M51*IF(ISNUMBER(Eingabe!$D$33),Eingabe!$D$33,0),2))</f>
        <v/>
      </c>
      <c r="O51" s="27">
        <f>IF($D51="","",ROUND($E51*$P51,2))</f>
        <v/>
      </c>
      <c r="P51" s="27">
        <f>IF($D51="","",IFERROR(ROUND(($M51+$N51)/$E51,2),0))</f>
        <v/>
      </c>
      <c r="Q51" s="13">
        <f>IF($D51="","",IF(ISNA(MATCH($D51,Katalog_Leistung,0)),IF(OR(Eingabe!G90="",NOT(ISNUMBER(Eingabe!H90)),NOT(ISNUMBER(Eingabe!I90))),"! Freie Position: Einheit, Material und Zeit in Spalte G, H und I eintragen",IF(NOT(ISNUMBER(Eingabe!E90)),"! Menge fehlt oder ist keine Zahl",IF($E51&lt;=0,"! Menge muss größer 0 sein","OK - freie Position"))),IF(COUNTIF(Katalog_Leistung,$D51)&gt;1,"! Leistung steht mehrfach im Katalog - siehe Stammdaten",IF(INDEX(Katalog_Kategorie,MATCH($D51,Katalog_Leistung,0))&lt;&gt;$C51,"! Kategorie passt nicht zur Leistung",IF(NOT(ISNUMBER(Eingabe!E90)),"! Menge fehlt oder ist keine Zahl",IF($E51&lt;=0,"! Menge muss größer 0 sein",IF(OR(Eingabe!G90&lt;&gt;"",ISNUMBER(Eingabe!H90),ISNUMBER(Eingabe!I90)),"OK - manueller Wert überschreibt Katalog","OK")))))))</f>
        <v/>
      </c>
    </row>
    <row r="52">
      <c r="A52" s="21">
        <f>IF($D52="","",Eingabe!A91)</f>
        <v/>
      </c>
      <c r="B52" s="13">
        <f>IF($D52="","",IF(Eingabe!B91="","",Eingabe!B91))</f>
        <v/>
      </c>
      <c r="C52" s="13">
        <f>IF($D52="","",IF(Eingabe!C91="","",Eingabe!C91))</f>
        <v/>
      </c>
      <c r="D52" s="13">
        <f>IF(Eingabe!D91="","",Eingabe!D91)</f>
        <v/>
      </c>
      <c r="E52" s="26">
        <f>IF($D52="","",IF(ISNUMBER(Eingabe!E91),Eingabe!E91,0))</f>
        <v/>
      </c>
      <c r="F52" s="21">
        <f>IF($D52="","",IF(Eingabe!G91&lt;&gt;"",Eingabe!G91,IFERROR(INDEX(Katalog_Einheit,MATCH($D52,Katalog_Leistung,0)),"?")))</f>
        <v/>
      </c>
      <c r="G52" s="27">
        <f>IF($D52="","",IF(ISNUMBER(Eingabe!H91),Eingabe!H91,IFERROR(INDEX(Katalog_Material,MATCH($D52,Katalog_Leistung,0)),0)*(1+IF(ISNUMBER(Eingabe!$D$39),Eingabe!$D$39,0))))</f>
        <v/>
      </c>
      <c r="H52" s="28">
        <f>IF($D52="","",IF(ISNUMBER(Eingabe!I91),Eingabe!I91,IFERROR(INDEX(Katalog_Zeit,MATCH($D52,Katalog_Leistung,0)),0)))</f>
        <v/>
      </c>
      <c r="I52" s="27">
        <f>IF($D52="","",ROUND($E52*$G52,2))</f>
        <v/>
      </c>
      <c r="J52" s="27">
        <f>IF($D52="","",ROUND($I52*IF(ISNUMBER(Eingabe!$D$32),Eingabe!$D$32,0),2))</f>
        <v/>
      </c>
      <c r="K52" s="28">
        <f>IF($D52="","",$E52*$H52)</f>
        <v/>
      </c>
      <c r="L52" s="27">
        <f>IF($D52="","",ROUND($K52*IF(ISNUMBER(Eingabe!$D$31),Eingabe!$D$31,0),2))</f>
        <v/>
      </c>
      <c r="M52" s="27">
        <f>IF($D52="","",$I52+$J52+$L52)</f>
        <v/>
      </c>
      <c r="N52" s="27">
        <f>IF($D52="","",ROUND($M52*IF(ISNUMBER(Eingabe!$D$33),Eingabe!$D$33,0),2))</f>
        <v/>
      </c>
      <c r="O52" s="27">
        <f>IF($D52="","",ROUND($E52*$P52,2))</f>
        <v/>
      </c>
      <c r="P52" s="27">
        <f>IF($D52="","",IFERROR(ROUND(($M52+$N52)/$E52,2),0))</f>
        <v/>
      </c>
      <c r="Q52" s="13">
        <f>IF($D52="","",IF(ISNA(MATCH($D52,Katalog_Leistung,0)),IF(OR(Eingabe!G91="",NOT(ISNUMBER(Eingabe!H91)),NOT(ISNUMBER(Eingabe!I91))),"! Freie Position: Einheit, Material und Zeit in Spalte G, H und I eintragen",IF(NOT(ISNUMBER(Eingabe!E91)),"! Menge fehlt oder ist keine Zahl",IF($E52&lt;=0,"! Menge muss größer 0 sein","OK - freie Position"))),IF(COUNTIF(Katalog_Leistung,$D52)&gt;1,"! Leistung steht mehrfach im Katalog - siehe Stammdaten",IF(INDEX(Katalog_Kategorie,MATCH($D52,Katalog_Leistung,0))&lt;&gt;$C52,"! Kategorie passt nicht zur Leistung",IF(NOT(ISNUMBER(Eingabe!E91)),"! Menge fehlt oder ist keine Zahl",IF($E52&lt;=0,"! Menge muss größer 0 sein",IF(OR(Eingabe!G91&lt;&gt;"",ISNUMBER(Eingabe!H91),ISNUMBER(Eingabe!I91)),"OK - manueller Wert überschreibt Katalog","OK")))))))</f>
        <v/>
      </c>
    </row>
    <row r="53">
      <c r="A53" s="21">
        <f>IF($D53="","",Eingabe!A92)</f>
        <v/>
      </c>
      <c r="B53" s="13">
        <f>IF($D53="","",IF(Eingabe!B92="","",Eingabe!B92))</f>
        <v/>
      </c>
      <c r="C53" s="13">
        <f>IF($D53="","",IF(Eingabe!C92="","",Eingabe!C92))</f>
        <v/>
      </c>
      <c r="D53" s="13">
        <f>IF(Eingabe!D92="","",Eingabe!D92)</f>
        <v/>
      </c>
      <c r="E53" s="26">
        <f>IF($D53="","",IF(ISNUMBER(Eingabe!E92),Eingabe!E92,0))</f>
        <v/>
      </c>
      <c r="F53" s="21">
        <f>IF($D53="","",IF(Eingabe!G92&lt;&gt;"",Eingabe!G92,IFERROR(INDEX(Katalog_Einheit,MATCH($D53,Katalog_Leistung,0)),"?")))</f>
        <v/>
      </c>
      <c r="G53" s="27">
        <f>IF($D53="","",IF(ISNUMBER(Eingabe!H92),Eingabe!H92,IFERROR(INDEX(Katalog_Material,MATCH($D53,Katalog_Leistung,0)),0)*(1+IF(ISNUMBER(Eingabe!$D$39),Eingabe!$D$39,0))))</f>
        <v/>
      </c>
      <c r="H53" s="28">
        <f>IF($D53="","",IF(ISNUMBER(Eingabe!I92),Eingabe!I92,IFERROR(INDEX(Katalog_Zeit,MATCH($D53,Katalog_Leistung,0)),0)))</f>
        <v/>
      </c>
      <c r="I53" s="27">
        <f>IF($D53="","",ROUND($E53*$G53,2))</f>
        <v/>
      </c>
      <c r="J53" s="27">
        <f>IF($D53="","",ROUND($I53*IF(ISNUMBER(Eingabe!$D$32),Eingabe!$D$32,0),2))</f>
        <v/>
      </c>
      <c r="K53" s="28">
        <f>IF($D53="","",$E53*$H53)</f>
        <v/>
      </c>
      <c r="L53" s="27">
        <f>IF($D53="","",ROUND($K53*IF(ISNUMBER(Eingabe!$D$31),Eingabe!$D$31,0),2))</f>
        <v/>
      </c>
      <c r="M53" s="27">
        <f>IF($D53="","",$I53+$J53+$L53)</f>
        <v/>
      </c>
      <c r="N53" s="27">
        <f>IF($D53="","",ROUND($M53*IF(ISNUMBER(Eingabe!$D$33),Eingabe!$D$33,0),2))</f>
        <v/>
      </c>
      <c r="O53" s="27">
        <f>IF($D53="","",ROUND($E53*$P53,2))</f>
        <v/>
      </c>
      <c r="P53" s="27">
        <f>IF($D53="","",IFERROR(ROUND(($M53+$N53)/$E53,2),0))</f>
        <v/>
      </c>
      <c r="Q53" s="13">
        <f>IF($D53="","",IF(ISNA(MATCH($D53,Katalog_Leistung,0)),IF(OR(Eingabe!G92="",NOT(ISNUMBER(Eingabe!H92)),NOT(ISNUMBER(Eingabe!I92))),"! Freie Position: Einheit, Material und Zeit in Spalte G, H und I eintragen",IF(NOT(ISNUMBER(Eingabe!E92)),"! Menge fehlt oder ist keine Zahl",IF($E53&lt;=0,"! Menge muss größer 0 sein","OK - freie Position"))),IF(COUNTIF(Katalog_Leistung,$D53)&gt;1,"! Leistung steht mehrfach im Katalog - siehe Stammdaten",IF(INDEX(Katalog_Kategorie,MATCH($D53,Katalog_Leistung,0))&lt;&gt;$C53,"! Kategorie passt nicht zur Leistung",IF(NOT(ISNUMBER(Eingabe!E92)),"! Menge fehlt oder ist keine Zahl",IF($E53&lt;=0,"! Menge muss größer 0 sein",IF(OR(Eingabe!G92&lt;&gt;"",ISNUMBER(Eingabe!H92),ISNUMBER(Eingabe!I92)),"OK - manueller Wert überschreibt Katalog","OK")))))))</f>
        <v/>
      </c>
    </row>
    <row r="54">
      <c r="B54" s="29" t="inlineStr">
        <is>
          <t>Zusammenfassung</t>
        </is>
      </c>
      <c r="G54" s="29" t="inlineStr">
        <is>
          <t>Auswertung nach Kategorie</t>
        </is>
      </c>
    </row>
    <row r="55">
      <c r="G55" s="30" t="inlineStr">
        <is>
          <t>Kategorie</t>
        </is>
      </c>
      <c r="H55" s="30" t="inlineStr">
        <is>
          <t>Netto-Summe</t>
        </is>
      </c>
      <c r="I55" s="30" t="inlineStr">
        <is>
          <t>Anteil</t>
        </is>
      </c>
    </row>
    <row r="56">
      <c r="B56" s="31" t="inlineStr">
        <is>
          <t>Materialkosten (Einkauf)</t>
        </is>
      </c>
      <c r="E56" s="32">
        <f>SUM(I4:I53)</f>
        <v/>
      </c>
      <c r="F56" s="33" t="n"/>
      <c r="G56" s="13">
        <f>IF(Listen!$U$2="","",Listen!$U$2)</f>
        <v/>
      </c>
      <c r="H56" s="27">
        <f>IF($G56="","",SUMIF($C$4:$C$53,$G56,$O$4:$O$53))</f>
        <v/>
      </c>
      <c r="I56" s="34">
        <f>IF($G56="","",IFERROR($H56/$E$63,0))</f>
        <v/>
      </c>
    </row>
    <row r="57">
      <c r="B57" s="31" t="inlineStr">
        <is>
          <t>Materialzuschlag</t>
        </is>
      </c>
      <c r="E57" s="32">
        <f>SUM(J4:J53)</f>
        <v/>
      </c>
      <c r="F57" s="33" t="n"/>
      <c r="G57" s="13">
        <f>IF(Listen!$U$3="","",Listen!$U$3)</f>
        <v/>
      </c>
      <c r="H57" s="27">
        <f>IF($G57="","",SUMIF($C$4:$C$53,$G57,$O$4:$O$53))</f>
        <v/>
      </c>
      <c r="I57" s="34">
        <f>IF($G57="","",IFERROR($H57/$E$63,0))</f>
        <v/>
      </c>
    </row>
    <row r="58">
      <c r="B58" s="35" t="inlineStr">
        <is>
          <t>Material gesamt</t>
        </is>
      </c>
      <c r="E58" s="36">
        <f>E56+E57</f>
        <v/>
      </c>
      <c r="F58" s="37" t="n"/>
      <c r="G58" s="13">
        <f>IF(Listen!$U$4="","",Listen!$U$4)</f>
        <v/>
      </c>
      <c r="H58" s="27">
        <f>IF($G58="","",SUMIF($C$4:$C$53,$G58,$O$4:$O$53))</f>
        <v/>
      </c>
      <c r="I58" s="34">
        <f>IF($G58="","",IFERROR($H58/$E$63,0))</f>
        <v/>
      </c>
    </row>
    <row r="59">
      <c r="B59" s="31" t="inlineStr">
        <is>
          <t>Lohnstunden gesamt</t>
        </is>
      </c>
      <c r="E59" s="38">
        <f>SUM(K4:K53)</f>
        <v/>
      </c>
      <c r="F59" s="33" t="n"/>
      <c r="G59" s="13">
        <f>IF(Listen!$U$5="","",Listen!$U$5)</f>
        <v/>
      </c>
      <c r="H59" s="27">
        <f>IF($G59="","",SUMIF($C$4:$C$53,$G59,$O$4:$O$53))</f>
        <v/>
      </c>
      <c r="I59" s="34">
        <f>IF($G59="","",IFERROR($H59/$E$63,0))</f>
        <v/>
      </c>
    </row>
    <row r="60">
      <c r="B60" s="31" t="inlineStr">
        <is>
          <t>Lohnkosten</t>
        </is>
      </c>
      <c r="E60" s="32">
        <f>SUM(L4:L53)</f>
        <v/>
      </c>
      <c r="F60" s="33" t="n"/>
      <c r="G60" s="13">
        <f>IF(Listen!$U$6="","",Listen!$U$6)</f>
        <v/>
      </c>
      <c r="H60" s="27">
        <f>IF($G60="","",SUMIF($C$4:$C$53,$G60,$O$4:$O$53))</f>
        <v/>
      </c>
      <c r="I60" s="34">
        <f>IF($G60="","",IFERROR($H60/$E$63,0))</f>
        <v/>
      </c>
    </row>
    <row r="61">
      <c r="B61" s="35" t="inlineStr">
        <is>
          <t>Herstellkosten</t>
        </is>
      </c>
      <c r="E61" s="36">
        <f>E58+E60</f>
        <v/>
      </c>
      <c r="F61" s="37" t="n"/>
      <c r="G61" s="13">
        <f>IF(Listen!$U$7="","",Listen!$U$7)</f>
        <v/>
      </c>
      <c r="H61" s="27">
        <f>IF($G61="","",SUMIF($C$4:$C$53,$G61,$O$4:$O$53))</f>
        <v/>
      </c>
      <c r="I61" s="34">
        <f>IF($G61="","",IFERROR($H61/$E$63,0))</f>
        <v/>
      </c>
    </row>
    <row r="62">
      <c r="B62" s="31" t="inlineStr">
        <is>
          <t>Wagnis und Gewinn (inkl. Rundungsausgleich)</t>
        </is>
      </c>
      <c r="E62" s="32">
        <f>E63-E61</f>
        <v/>
      </c>
      <c r="F62" s="33" t="n"/>
      <c r="G62" s="13">
        <f>IF(Listen!$U$8="","",Listen!$U$8)</f>
        <v/>
      </c>
      <c r="H62" s="27">
        <f>IF($G62="","",SUMIF($C$4:$C$53,$G62,$O$4:$O$53))</f>
        <v/>
      </c>
      <c r="I62" s="34">
        <f>IF($G62="","",IFERROR($H62/$E$63,0))</f>
        <v/>
      </c>
    </row>
    <row r="63">
      <c r="B63" s="35" t="inlineStr">
        <is>
          <t>Angebotssumme netto vor Nachlass</t>
        </is>
      </c>
      <c r="E63" s="36">
        <f>SUM(O4:O53)</f>
        <v/>
      </c>
      <c r="F63" s="37" t="n"/>
      <c r="G63" s="13">
        <f>IF(Listen!$U$9="","",Listen!$U$9)</f>
        <v/>
      </c>
      <c r="H63" s="27">
        <f>IF($G63="","",SUMIF($C$4:$C$53,$G63,$O$4:$O$53))</f>
        <v/>
      </c>
      <c r="I63" s="34">
        <f>IF($G63="","",IFERROR($H63/$E$63,0))</f>
        <v/>
      </c>
    </row>
    <row r="64">
      <c r="B64" s="31" t="inlineStr">
        <is>
          <t>abzüglich Nachlass</t>
        </is>
      </c>
      <c r="E64" s="32">
        <f>ROUND(E63*IF(ISNUMBER(Eingabe!$D$34),Eingabe!$D$34,0),2)</f>
        <v/>
      </c>
      <c r="F64" s="33" t="n"/>
      <c r="G64" s="13">
        <f>IF(Listen!$U$10="","",Listen!$U$10)</f>
        <v/>
      </c>
      <c r="H64" s="27">
        <f>IF($G64="","",SUMIF($C$4:$C$53,$G64,$O$4:$O$53))</f>
        <v/>
      </c>
      <c r="I64" s="34">
        <f>IF($G64="","",IFERROR($H64/$E$63,0))</f>
        <v/>
      </c>
    </row>
    <row r="65">
      <c r="B65" s="35" t="inlineStr">
        <is>
          <t>Angebotssumme netto</t>
        </is>
      </c>
      <c r="E65" s="36">
        <f>E63-E64</f>
        <v/>
      </c>
      <c r="F65" s="37" t="n"/>
      <c r="G65" s="13">
        <f>IF(Listen!$U$11="","",Listen!$U$11)</f>
        <v/>
      </c>
      <c r="H65" s="27">
        <f>IF($G65="","",SUMIF($C$4:$C$53,$G65,$O$4:$O$53))</f>
        <v/>
      </c>
      <c r="I65" s="34">
        <f>IF($G65="","",IFERROR($H65/$E$63,0))</f>
        <v/>
      </c>
    </row>
    <row r="66">
      <c r="B66" s="31" t="inlineStr">
        <is>
          <t>zuzüglich Umsatzsteuer</t>
        </is>
      </c>
      <c r="E66" s="32">
        <f>ROUND(E65*E79,2)</f>
        <v/>
      </c>
      <c r="F66" s="33" t="n"/>
      <c r="G66" s="13">
        <f>IF(Listen!$U$12="","",Listen!$U$12)</f>
        <v/>
      </c>
      <c r="H66" s="27">
        <f>IF($G66="","",SUMIF($C$4:$C$53,$G66,$O$4:$O$53))</f>
        <v/>
      </c>
      <c r="I66" s="34">
        <f>IF($G66="","",IFERROR($H66/$E$63,0))</f>
        <v/>
      </c>
    </row>
    <row r="67">
      <c r="B67" s="35" t="inlineStr">
        <is>
          <t>Angebotssumme brutto</t>
        </is>
      </c>
      <c r="E67" s="36">
        <f>E65+E66</f>
        <v/>
      </c>
      <c r="F67" s="37" t="n"/>
      <c r="G67" s="13">
        <f>IF(Listen!$U$13="","",Listen!$U$13)</f>
        <v/>
      </c>
      <c r="H67" s="27">
        <f>IF($G67="","",SUMIF($C$4:$C$53,$G67,$O$4:$O$53))</f>
        <v/>
      </c>
      <c r="I67" s="34">
        <f>IF($G67="","",IFERROR($H67/$E$63,0))</f>
        <v/>
      </c>
    </row>
    <row r="68">
      <c r="B68" s="31" t="inlineStr">
        <is>
          <t>Skontobetrag</t>
        </is>
      </c>
      <c r="E68" s="32">
        <f>ROUND(E67*IF(ISNUMBER(Eingabe!$D$36),Eingabe!$D$36,0),2)</f>
        <v/>
      </c>
      <c r="F68" s="33" t="n"/>
      <c r="G68" s="13">
        <f>IF(Listen!$U$14="","",Listen!$U$14)</f>
        <v/>
      </c>
      <c r="H68" s="27">
        <f>IF($G68="","",SUMIF($C$4:$C$53,$G68,$O$4:$O$53))</f>
        <v/>
      </c>
      <c r="I68" s="34">
        <f>IF($G68="","",IFERROR($H68/$E$63,0))</f>
        <v/>
      </c>
    </row>
    <row r="69">
      <c r="B69" s="35" t="inlineStr">
        <is>
          <t>Zahlbetrag bei Skontoabzug</t>
        </is>
      </c>
      <c r="E69" s="36">
        <f>E67-E68</f>
        <v/>
      </c>
      <c r="F69" s="37" t="n"/>
      <c r="G69" s="13">
        <f>IF(Listen!$U$15="","",Listen!$U$15)</f>
        <v/>
      </c>
      <c r="H69" s="27">
        <f>IF($G69="","",SUMIF($C$4:$C$53,$G69,$O$4:$O$53))</f>
        <v/>
      </c>
      <c r="I69" s="34">
        <f>IF($G69="","",IFERROR($H69/$E$63,0))</f>
        <v/>
      </c>
    </row>
    <row r="70">
      <c r="G70" s="13">
        <f>IF(Listen!$U$16="","",Listen!$U$16)</f>
        <v/>
      </c>
      <c r="H70" s="27">
        <f>IF($G70="","",SUMIF($C$4:$C$53,$G70,$O$4:$O$53))</f>
        <v/>
      </c>
      <c r="I70" s="34">
        <f>IF($G70="","",IFERROR($H70/$E$63,0))</f>
        <v/>
      </c>
    </row>
    <row r="71">
      <c r="B71" s="31" t="inlineStr">
        <is>
          <t>Anzahl kalkulierter Positionen</t>
        </is>
      </c>
      <c r="E71" s="39">
        <f>COUNT(A4:A53)</f>
        <v/>
      </c>
      <c r="F71" s="33" t="n"/>
      <c r="G71" s="13">
        <f>IF(Listen!$U$17="","",Listen!$U$17)</f>
        <v/>
      </c>
      <c r="H71" s="27">
        <f>IF($G71="","",SUMIF($C$4:$C$53,$G71,$O$4:$O$53))</f>
        <v/>
      </c>
      <c r="I71" s="34">
        <f>IF($G71="","",IFERROR($H71/$E$63,0))</f>
        <v/>
      </c>
    </row>
    <row r="72">
      <c r="B72" s="31" t="inlineStr">
        <is>
          <t>Netto-Umsatz je Lohnstunde</t>
        </is>
      </c>
      <c r="E72" s="32">
        <f>IFERROR(E65/E59,0)</f>
        <v/>
      </c>
      <c r="F72" s="33" t="n"/>
      <c r="G72" s="13">
        <f>IF(Listen!$U$18="","",Listen!$U$18)</f>
        <v/>
      </c>
      <c r="H72" s="27">
        <f>IF($G72="","",SUMIF($C$4:$C$53,$G72,$O$4:$O$53))</f>
        <v/>
      </c>
      <c r="I72" s="34">
        <f>IF($G72="","",IFERROR($H72/$E$63,0))</f>
        <v/>
      </c>
    </row>
    <row r="73">
      <c r="B73" s="31" t="inlineStr">
        <is>
          <t>Materialanteil an der Nettosumme</t>
        </is>
      </c>
      <c r="E73" s="40">
        <f>IFERROR(E58/E65,0)</f>
        <v/>
      </c>
      <c r="F73" s="33" t="n"/>
      <c r="G73" s="13">
        <f>IF(Listen!$U$19="","",Listen!$U$19)</f>
        <v/>
      </c>
      <c r="H73" s="27">
        <f>IF($G73="","",SUMIF($C$4:$C$53,$G73,$O$4:$O$53))</f>
        <v/>
      </c>
      <c r="I73" s="34">
        <f>IF($G73="","",IFERROR($H73/$E$63,0))</f>
        <v/>
      </c>
    </row>
    <row r="74">
      <c r="B74" s="31" t="inlineStr">
        <is>
          <t>Lohnanteil an der Nettosumme</t>
        </is>
      </c>
      <c r="E74" s="40">
        <f>IFERROR(E60/E65,0)</f>
        <v/>
      </c>
      <c r="F74" s="33" t="n"/>
      <c r="G74" s="13">
        <f>IF(Listen!$U$20="","",Listen!$U$20)</f>
        <v/>
      </c>
      <c r="H74" s="27">
        <f>IF($G74="","",SUMIF($C$4:$C$53,$G74,$O$4:$O$53))</f>
        <v/>
      </c>
      <c r="I74" s="34">
        <f>IF($G74="","",IFERROR($H74/$E$63,0))</f>
        <v/>
      </c>
    </row>
    <row r="75">
      <c r="B75" s="31" t="inlineStr">
        <is>
          <t>Positionen mit Fehlerhinweis</t>
        </is>
      </c>
      <c r="E75" s="39">
        <f>SUMPRODUCT(--(LEFT(Q4:Q53,1)="!"))</f>
        <v/>
      </c>
      <c r="F75" s="33" t="n"/>
      <c r="G75" s="13">
        <f>IF(Listen!$U$21="","",Listen!$U$21)</f>
        <v/>
      </c>
      <c r="H75" s="27">
        <f>IF($G75="","",SUMIF($C$4:$C$53,$G75,$O$4:$O$53))</f>
        <v/>
      </c>
      <c r="I75" s="34">
        <f>IF($G75="","",IFERROR($H75/$E$63,0))</f>
        <v/>
      </c>
    </row>
    <row r="76">
      <c r="B76" s="31" t="inlineStr">
        <is>
          <t>Ungültige Einstellungen und Parameter</t>
        </is>
      </c>
      <c r="E76" s="39">
        <f>SUMPRODUCT(--(LEFT(Eingabe!$F$26:$F$28,1)="!"))+SUMPRODUCT(--(LEFT(Eingabe!$F$31:$F$39,1)="!"))</f>
        <v/>
      </c>
      <c r="F76" s="33" t="n"/>
      <c r="G76" s="13">
        <f>IF(Listen!$U$22="","",Listen!$U$22)</f>
        <v/>
      </c>
      <c r="H76" s="27">
        <f>IF($G76="","",SUMIF($C$4:$C$53,$G76,$O$4:$O$53))</f>
        <v/>
      </c>
      <c r="I76" s="34">
        <f>IF($G76="","",IFERROR($H76/$E$63,0))</f>
        <v/>
      </c>
    </row>
    <row r="77">
      <c r="B77" s="35" t="inlineStr">
        <is>
          <t>Offene Probleme gesamt (muss 0 sein)</t>
        </is>
      </c>
      <c r="E77" s="41">
        <f>E75+E76</f>
        <v/>
      </c>
      <c r="F77" s="37" t="n"/>
      <c r="G77" s="13">
        <f>IF(Listen!$U$23="","",Listen!$U$23)</f>
        <v/>
      </c>
      <c r="H77" s="27">
        <f>IF($G77="","",SUMIF($C$4:$C$53,$G77,$O$4:$O$53))</f>
        <v/>
      </c>
      <c r="I77" s="34">
        <f>IF($G77="","",IFERROR($H77/$E$63,0))</f>
        <v/>
      </c>
    </row>
    <row r="78">
      <c r="G78" s="13">
        <f>IF(Listen!$U$24="","",Listen!$U$24)</f>
        <v/>
      </c>
      <c r="H78" s="27">
        <f>IF($G78="","",SUMIF($C$4:$C$53,$G78,$O$4:$O$53))</f>
        <v/>
      </c>
      <c r="I78" s="34">
        <f>IF($G78="","",IFERROR($H78/$E$63,0))</f>
        <v/>
      </c>
    </row>
    <row r="79">
      <c r="B79" s="31" t="inlineStr">
        <is>
          <t>Umsatzsteuersatz (wirksam)</t>
        </is>
      </c>
      <c r="E79" s="40">
        <f>IF(IFERROR(INDEX(Listen!$J$2:$J$5,MATCH(Eingabe!$D$27,Steuerfaelle,0)),1)=1,IF(ISNUMBER(Eingabe!$D$35),Eingabe!$D$35,0),0)</f>
        <v/>
      </c>
      <c r="F79" s="33" t="n"/>
      <c r="G79" s="13">
        <f>IF(Listen!$U$25="","",Listen!$U$25)</f>
        <v/>
      </c>
      <c r="H79" s="27">
        <f>IF($G79="","",SUMIF($C$4:$C$53,$G79,$O$4:$O$53))</f>
        <v/>
      </c>
      <c r="I79" s="34">
        <f>IF($G79="","",IFERROR($H79/$E$63,0))</f>
        <v/>
      </c>
    </row>
    <row r="80">
      <c r="B80" s="31" t="inlineStr">
        <is>
          <t>Arbeitskosten nach § 35a EStG</t>
        </is>
      </c>
      <c r="E80" s="32">
        <f>IF(Eingabe!$D$28="Ja",ROUND(IFERROR(E65*E60/E61,0)*(1+E79),2),0)</f>
        <v/>
      </c>
      <c r="F80" s="33" t="n"/>
      <c r="G80" s="13">
        <f>IF(Listen!$U$26="","",Listen!$U$26)</f>
        <v/>
      </c>
      <c r="H80" s="27">
        <f>IF($G80="","",SUMIF($C$4:$C$53,$G80,$O$4:$O$53))</f>
        <v/>
      </c>
      <c r="I80" s="34">
        <f>IF($G80="","",IFERROR($H80/$E$63,0))</f>
        <v/>
      </c>
    </row>
    <row r="81">
      <c r="G81" s="13">
        <f>IF(Listen!$U$27="","",Listen!$U$27)</f>
        <v/>
      </c>
      <c r="H81" s="27">
        <f>IF($G81="","",SUMIF($C$4:$C$53,$G81,$O$4:$O$53))</f>
        <v/>
      </c>
      <c r="I81" s="34">
        <f>IF($G81="","",IFERROR($H81/$E$63,0))</f>
        <v/>
      </c>
    </row>
    <row r="82">
      <c r="G82" s="13">
        <f>IF(Listen!$U$28="","",Listen!$U$28)</f>
        <v/>
      </c>
      <c r="H82" s="27">
        <f>IF($G82="","",SUMIF($C$4:$C$53,$G82,$O$4:$O$53))</f>
        <v/>
      </c>
      <c r="I82" s="34">
        <f>IF($G82="","",IFERROR($H82/$E$63,0))</f>
        <v/>
      </c>
    </row>
    <row r="83">
      <c r="G83" s="13">
        <f>IF(Listen!$U$29="","",Listen!$U$29)</f>
        <v/>
      </c>
      <c r="H83" s="27">
        <f>IF($G83="","",SUMIF($C$4:$C$53,$G83,$O$4:$O$53))</f>
        <v/>
      </c>
      <c r="I83" s="34">
        <f>IF($G83="","",IFERROR($H83/$E$63,0))</f>
        <v/>
      </c>
    </row>
    <row r="84">
      <c r="G84" s="13">
        <f>IF(Listen!$U$30="","",Listen!$U$30)</f>
        <v/>
      </c>
      <c r="H84" s="27">
        <f>IF($G84="","",SUMIF($C$4:$C$53,$G84,$O$4:$O$53))</f>
        <v/>
      </c>
      <c r="I84" s="34">
        <f>IF($G84="","",IFERROR($H84/$E$63,0))</f>
        <v/>
      </c>
    </row>
    <row r="85">
      <c r="G85" s="13">
        <f>IF(Listen!$U$31="","",Listen!$U$31)</f>
        <v/>
      </c>
      <c r="H85" s="27">
        <f>IF($G85="","",SUMIF($C$4:$C$53,$G85,$O$4:$O$53))</f>
        <v/>
      </c>
      <c r="I85" s="34">
        <f>IF($G85="","",IFERROR($H85/$E$63,0))</f>
        <v/>
      </c>
    </row>
    <row r="86">
      <c r="G86" s="13">
        <f>IF(Listen!$U$32="","",Listen!$U$32)</f>
        <v/>
      </c>
      <c r="H86" s="27">
        <f>IF($G86="","",SUMIF($C$4:$C$53,$G86,$O$4:$O$53))</f>
        <v/>
      </c>
      <c r="I86" s="34">
        <f>IF($G86="","",IFERROR($H86/$E$63,0))</f>
        <v/>
      </c>
    </row>
    <row r="87">
      <c r="G87" s="13">
        <f>IF(Listen!$U$33="","",Listen!$U$33)</f>
        <v/>
      </c>
      <c r="H87" s="27">
        <f>IF($G87="","",SUMIF($C$4:$C$53,$G87,$O$4:$O$53))</f>
        <v/>
      </c>
      <c r="I87" s="34">
        <f>IF($G87="","",IFERROR($H87/$E$63,0))</f>
        <v/>
      </c>
    </row>
    <row r="88">
      <c r="G88" s="13">
        <f>IF(Listen!$U$34="","",Listen!$U$34)</f>
        <v/>
      </c>
      <c r="H88" s="27">
        <f>IF($G88="","",SUMIF($C$4:$C$53,$G88,$O$4:$O$53))</f>
        <v/>
      </c>
      <c r="I88" s="34">
        <f>IF($G88="","",IFERROR($H88/$E$63,0))</f>
        <v/>
      </c>
    </row>
    <row r="89">
      <c r="G89" s="13">
        <f>IF(Listen!$U$35="","",Listen!$U$35)</f>
        <v/>
      </c>
      <c r="H89" s="27">
        <f>IF($G89="","",SUMIF($C$4:$C$53,$G89,$O$4:$O$53))</f>
        <v/>
      </c>
      <c r="I89" s="34">
        <f>IF($G89="","",IFERROR($H89/$E$63,0))</f>
        <v/>
      </c>
    </row>
    <row r="90">
      <c r="G90" s="13">
        <f>IF(Listen!$U$36="","",Listen!$U$36)</f>
        <v/>
      </c>
      <c r="H90" s="27">
        <f>IF($G90="","",SUMIF($C$4:$C$53,$G90,$O$4:$O$53))</f>
        <v/>
      </c>
      <c r="I90" s="34">
        <f>IF($G90="","",IFERROR($H90/$E$63,0))</f>
        <v/>
      </c>
    </row>
    <row r="91">
      <c r="G91" s="13">
        <f>IF(Listen!$U$37="","",Listen!$U$37)</f>
        <v/>
      </c>
      <c r="H91" s="27">
        <f>IF($G91="","",SUMIF($C$4:$C$53,$G91,$O$4:$O$53))</f>
        <v/>
      </c>
      <c r="I91" s="34">
        <f>IF($G91="","",IFERROR($H91/$E$63,0))</f>
        <v/>
      </c>
    </row>
    <row r="92">
      <c r="G92" s="13">
        <f>IF(Listen!$U$38="","",Listen!$U$38)</f>
        <v/>
      </c>
      <c r="H92" s="27">
        <f>IF($G92="","",SUMIF($C$4:$C$53,$G92,$O$4:$O$53))</f>
        <v/>
      </c>
      <c r="I92" s="34">
        <f>IF($G92="","",IFERROR($H92/$E$63,0))</f>
        <v/>
      </c>
    </row>
    <row r="93">
      <c r="G93" s="13">
        <f>IF(Listen!$U$39="","",Listen!$U$39)</f>
        <v/>
      </c>
      <c r="H93" s="27">
        <f>IF($G93="","",SUMIF($C$4:$C$53,$G93,$O$4:$O$53))</f>
        <v/>
      </c>
      <c r="I93" s="34">
        <f>IF($G93="","",IFERROR($H93/$E$63,0))</f>
        <v/>
      </c>
    </row>
    <row r="94">
      <c r="G94" s="13">
        <f>IF(Listen!$U$40="","",Listen!$U$40)</f>
        <v/>
      </c>
      <c r="H94" s="27">
        <f>IF($G94="","",SUMIF($C$4:$C$53,$G94,$O$4:$O$53))</f>
        <v/>
      </c>
      <c r="I94" s="34">
        <f>IF($G94="","",IFERROR($H94/$E$63,0))</f>
        <v/>
      </c>
    </row>
    <row r="95">
      <c r="G95" s="13">
        <f>IF(Listen!$U$41="","",Listen!$U$41)</f>
        <v/>
      </c>
      <c r="H95" s="27">
        <f>IF($G95="","",SUMIF($C$4:$C$53,$G95,$O$4:$O$53))</f>
        <v/>
      </c>
      <c r="I95" s="34">
        <f>IF($G95="","",IFERROR($H95/$E$63,0))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46">
    <mergeCell ref="B60:D60"/>
    <mergeCell ref="B67:D67"/>
    <mergeCell ref="B61:D61"/>
    <mergeCell ref="E62:F62"/>
    <mergeCell ref="B57:D57"/>
    <mergeCell ref="E68:F68"/>
    <mergeCell ref="E71:F71"/>
    <mergeCell ref="E67:F67"/>
    <mergeCell ref="B73:D73"/>
    <mergeCell ref="B69:D69"/>
    <mergeCell ref="E64:F64"/>
    <mergeCell ref="E79:F79"/>
    <mergeCell ref="E73:F73"/>
    <mergeCell ref="E63:F63"/>
    <mergeCell ref="B74:D74"/>
    <mergeCell ref="B65:D65"/>
    <mergeCell ref="B68:D68"/>
    <mergeCell ref="E69:F69"/>
    <mergeCell ref="E60:F60"/>
    <mergeCell ref="E74:F74"/>
    <mergeCell ref="E56:F56"/>
    <mergeCell ref="B64:D64"/>
    <mergeCell ref="E65:F65"/>
    <mergeCell ref="E59:F59"/>
    <mergeCell ref="B80:D80"/>
    <mergeCell ref="B76:D76"/>
    <mergeCell ref="E77:F77"/>
    <mergeCell ref="B63:D63"/>
    <mergeCell ref="B79:D79"/>
    <mergeCell ref="E80:F80"/>
    <mergeCell ref="E61:F61"/>
    <mergeCell ref="B62:D62"/>
    <mergeCell ref="B75:D75"/>
    <mergeCell ref="E57:F57"/>
    <mergeCell ref="B72:D72"/>
    <mergeCell ref="B59:D59"/>
    <mergeCell ref="B66:D66"/>
    <mergeCell ref="E76:F76"/>
    <mergeCell ref="E72:F72"/>
    <mergeCell ref="B71:D71"/>
    <mergeCell ref="B56:D56"/>
    <mergeCell ref="B58:D58"/>
    <mergeCell ref="E75:F75"/>
    <mergeCell ref="E66:F66"/>
    <mergeCell ref="B77:D77"/>
    <mergeCell ref="E58:F58"/>
  </mergeCells>
  <conditionalFormatting sqref="Q4:Q53">
    <cfRule type="expression" priority="1" dxfId="0">
      <formula>LEFT($Q4,1)="!"</formula>
    </cfRule>
    <cfRule type="expression" priority="2" dxfId="2">
      <formula>LEFT($Q4,2)="OK"</formula>
    </cfRule>
  </conditionalFormatting>
  <conditionalFormatting sqref="B77:F77">
    <cfRule type="expression" priority="3" dxfId="0">
      <formula>$E$77&gt;0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W12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9" customWidth="1" min="3" max="3"/>
    <col width="8" customWidth="1" min="4" max="4"/>
    <col width="13" customWidth="1" min="5" max="5"/>
    <col width="14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1" customHeight="1">
      <c r="A1" s="5">
        <f>IF(Eingabe!D4="","[Firmenname im Blatt Eingabe ergänzen]",Eingabe!D4)</f>
        <v/>
      </c>
      <c r="D1" s="42" t="n"/>
      <c r="E1" s="42" t="n"/>
      <c r="F1" s="42" t="n"/>
      <c r="H1" s="43">
        <f>23+Berechnung!$E$71+$N$27</f>
        <v/>
      </c>
      <c r="L1" s="43" t="n">
        <v>1</v>
      </c>
      <c r="M1" s="43">
        <f>$Q$1+$S$1</f>
        <v/>
      </c>
      <c r="N1" s="43">
        <f>M1</f>
        <v/>
      </c>
      <c r="O1" s="43">
        <f>""</f>
        <v/>
      </c>
      <c r="P1" s="43">
        <f>""</f>
        <v/>
      </c>
      <c r="Q1" s="43" t="n">
        <v>1</v>
      </c>
      <c r="R1" s="43">
        <f>IFERROR(MATCH(Eingabe!$D$26,Dokumentarten,0),1)</f>
        <v/>
      </c>
      <c r="S1" s="43">
        <f>IF($V$1&lt;2,0,IF(AND($U$1+$V$1-1&gt;$R$11-2,$U$1&lt;=$R$11+2),$R$11+3-$U$1,IF(AND($U$1+$V$1-1&gt;$R$11+$R$12-2,$U$1&lt;=$R$11+$R$12+2),$R$11+$R$12+3-$U$1,0)))</f>
        <v/>
      </c>
      <c r="T1" s="43" t="n"/>
      <c r="U1" s="43">
        <f>Berechnung!$E$71+0+SUM($Q$1:$Q$1)+1</f>
        <v/>
      </c>
      <c r="V1" s="43">
        <f>SUM($Q$2:$Q$9)</f>
        <v/>
      </c>
      <c r="W1" s="43" t="n">
        <v>0</v>
      </c>
    </row>
    <row r="2" ht="15" customHeight="1">
      <c r="A2" s="44">
        <f>IF(Eingabe!D5="","",Eingabe!D5)</f>
        <v/>
      </c>
      <c r="D2" s="42" t="n"/>
      <c r="E2" s="42" t="n"/>
      <c r="F2" s="42" t="n"/>
      <c r="H2" s="43">
        <f>Berechnung!$E$77</f>
        <v/>
      </c>
      <c r="L2" s="43" t="n">
        <v>2</v>
      </c>
      <c r="M2" s="43">
        <f>$Q$2</f>
        <v/>
      </c>
      <c r="N2" s="43">
        <f>N1+M2</f>
        <v/>
      </c>
      <c r="O2" s="43">
        <f>"Zwischensumme"&amp;IF($R$4=1," netto","")</f>
        <v/>
      </c>
      <c r="P2" s="43">
        <f>Berechnung!$E$63</f>
        <v/>
      </c>
      <c r="Q2" s="43">
        <f>$R$8</f>
        <v/>
      </c>
      <c r="R2" s="43">
        <f>IFERROR(MATCH(Eingabe!$D$27,Steuerfaelle,0),1)</f>
        <v/>
      </c>
      <c r="S2" s="43" t="n"/>
      <c r="T2" s="43" t="n"/>
      <c r="U2" s="43" t="n"/>
      <c r="V2" s="43" t="n"/>
      <c r="W2" s="43" t="n">
        <v>1</v>
      </c>
    </row>
    <row r="3" ht="15" customHeight="1">
      <c r="A3" s="44">
        <f>IF(Eingabe!D6="","",Eingabe!D6)</f>
        <v/>
      </c>
      <c r="D3" s="42" t="n"/>
      <c r="E3" s="42" t="n"/>
      <c r="F3" s="42" t="n"/>
      <c r="L3" s="43" t="n">
        <v>3</v>
      </c>
      <c r="M3" s="43">
        <f>$Q$3</f>
        <v/>
      </c>
      <c r="N3" s="43">
        <f>N2+M3</f>
        <v/>
      </c>
      <c r="O3" s="43">
        <f>"abzüglich Nachlass "&amp;ROUND(N(Eingabe!$D$34)*100,2)&amp;" %"</f>
        <v/>
      </c>
      <c r="P3" s="43">
        <f>-Berechnung!$E$64</f>
        <v/>
      </c>
      <c r="Q3" s="43">
        <f>$R$8</f>
        <v/>
      </c>
      <c r="R3" s="43">
        <f>INDEX(Listen!$I$2:$I$5,$R$2)</f>
        <v/>
      </c>
      <c r="S3" s="43" t="n"/>
      <c r="T3" s="43" t="n"/>
      <c r="U3" s="43" t="n"/>
      <c r="V3" s="43" t="n"/>
      <c r="W3" s="43" t="n">
        <v>1</v>
      </c>
    </row>
    <row r="4" ht="15" customHeight="1">
      <c r="A4" s="44">
        <f>IF(Eingabe!D7="","",Eingabe!D7)</f>
        <v/>
      </c>
      <c r="D4" s="42" t="n"/>
      <c r="E4" s="42" t="n"/>
      <c r="F4" s="42" t="n"/>
      <c r="L4" s="43" t="n">
        <v>4</v>
      </c>
      <c r="M4" s="43">
        <f>$Q$4</f>
        <v/>
      </c>
      <c r="N4" s="43">
        <f>N3+M4</f>
        <v/>
      </c>
      <c r="O4" s="43">
        <f>$R$5&amp;IF($R$4=1," netto","")</f>
        <v/>
      </c>
      <c r="P4" s="43">
        <f>Berechnung!$E$65</f>
        <v/>
      </c>
      <c r="Q4" s="43" t="n">
        <v>1</v>
      </c>
      <c r="R4" s="43">
        <f>INDEX(Listen!$K$2:$K$5,$R$2)</f>
        <v/>
      </c>
      <c r="S4" s="43" t="n"/>
      <c r="T4" s="43" t="n"/>
      <c r="U4" s="43" t="n"/>
      <c r="V4" s="43" t="n"/>
      <c r="W4" s="43" t="n">
        <v>1</v>
      </c>
    </row>
    <row r="5" ht="15" customHeight="1">
      <c r="A5" s="44">
        <f>IF(Eingabe!D8="","",Eingabe!D8)</f>
        <v/>
      </c>
      <c r="D5" s="42" t="n"/>
      <c r="E5" s="42" t="n"/>
      <c r="F5" s="42" t="n"/>
      <c r="L5" s="43" t="n">
        <v>5</v>
      </c>
      <c r="M5" s="43">
        <f>$Q$5</f>
        <v/>
      </c>
      <c r="N5" s="43">
        <f>N4+M5</f>
        <v/>
      </c>
      <c r="O5" s="43">
        <f>"zuzüglich Umsatzsteuer "&amp;ROUND($R$6*100,2)&amp;" %"</f>
        <v/>
      </c>
      <c r="P5" s="43">
        <f>Berechnung!$E$66</f>
        <v/>
      </c>
      <c r="Q5" s="43">
        <f>$R$3</f>
        <v/>
      </c>
      <c r="R5" s="43">
        <f>INDEX(Listen!$B$2:$B$4,$R$1)&amp;""</f>
        <v/>
      </c>
      <c r="S5" s="43" t="n"/>
      <c r="T5" s="43" t="n"/>
      <c r="U5" s="43" t="n"/>
      <c r="V5" s="43" t="n"/>
      <c r="W5" s="43" t="n">
        <v>1</v>
      </c>
    </row>
    <row r="6" ht="15" customHeight="1">
      <c r="A6" s="44">
        <f>IF(Eingabe!D9="","",Eingabe!D9)</f>
        <v/>
      </c>
      <c r="D6" s="42" t="n"/>
      <c r="E6" s="42" t="n"/>
      <c r="F6" s="42" t="n"/>
      <c r="L6" s="43" t="n">
        <v>6</v>
      </c>
      <c r="M6" s="43">
        <f>$Q$6</f>
        <v/>
      </c>
      <c r="N6" s="43">
        <f>N5+M6</f>
        <v/>
      </c>
      <c r="O6" s="43">
        <f>$R$5&amp;" brutto"</f>
        <v/>
      </c>
      <c r="P6" s="43">
        <f>Berechnung!$E$67</f>
        <v/>
      </c>
      <c r="Q6" s="43">
        <f>$R$3</f>
        <v/>
      </c>
      <c r="R6" s="43">
        <f>Berechnung!$E$79</f>
        <v/>
      </c>
      <c r="S6" s="43" t="n"/>
      <c r="T6" s="43" t="n"/>
      <c r="U6" s="43" t="n"/>
      <c r="V6" s="43" t="n"/>
      <c r="W6" s="43" t="n">
        <v>1</v>
      </c>
    </row>
    <row r="7" ht="15" customHeight="1">
      <c r="A7" s="45" t="n"/>
      <c r="B7" s="45" t="n"/>
      <c r="C7" s="45" t="n"/>
      <c r="D7" s="45" t="n"/>
      <c r="E7" s="45" t="n"/>
      <c r="F7" s="45" t="n"/>
      <c r="L7" s="43" t="n">
        <v>7</v>
      </c>
      <c r="M7" s="43">
        <f>$Q$7</f>
        <v/>
      </c>
      <c r="N7" s="43">
        <f>N6+M7</f>
        <v/>
      </c>
      <c r="O7" s="43">
        <f>IF($R$6&gt;0,"Enthaltene Arbeitskosten inkl. Umsatzsteuer (§ 35a EStG)","Enthaltene Arbeitskosten (§ 35a EStG)")</f>
        <v/>
      </c>
      <c r="P7" s="43">
        <f>Berechnung!$E$80</f>
        <v/>
      </c>
      <c r="Q7" s="43">
        <f>$R$10</f>
        <v/>
      </c>
      <c r="R7" s="43">
        <f>IF(AND(N(Eingabe!$D$36)&gt;0,N(Eingabe!$D$37)&gt;0),1,0)</f>
        <v/>
      </c>
      <c r="S7" s="43" t="n"/>
      <c r="T7" s="43" t="n"/>
      <c r="U7" s="43" t="n"/>
      <c r="V7" s="43" t="n"/>
      <c r="W7" s="43" t="n">
        <v>1</v>
      </c>
    </row>
    <row r="8" ht="15" customHeight="1">
      <c r="L8" s="43" t="n">
        <v>8</v>
      </c>
      <c r="M8" s="43">
        <f>$Q$8</f>
        <v/>
      </c>
      <c r="N8" s="43">
        <f>N7+M8</f>
        <v/>
      </c>
      <c r="O8" s="43">
        <f>INDEX(Listen!$M$2:$M$5,$R$2)&amp;""</f>
        <v/>
      </c>
      <c r="P8" s="43">
        <f>""</f>
        <v/>
      </c>
      <c r="Q8" s="43">
        <f>IF($O$8&lt;&gt;"",1,0)</f>
        <v/>
      </c>
      <c r="R8" s="43">
        <f>IF(N(Eingabe!$D$34)&gt;0,1,0)</f>
        <v/>
      </c>
      <c r="S8" s="43" t="n"/>
      <c r="T8" s="43" t="n"/>
      <c r="U8" s="43" t="n"/>
      <c r="V8" s="43" t="n"/>
      <c r="W8" s="43" t="n">
        <v>1</v>
      </c>
    </row>
    <row r="9" ht="15" customHeight="1">
      <c r="A9" s="6">
        <f>INDEX(Listen!$E$2:$E$4,$R$1)&amp;""</f>
        <v/>
      </c>
      <c r="E9" s="46">
        <f>INDEX(Listen!$D$2:$D$4,$R$1)&amp;""</f>
        <v/>
      </c>
      <c r="F9" s="47">
        <f>IF(Eingabe!D13="","",Eingabe!D13)</f>
        <v/>
      </c>
      <c r="L9" s="43" t="n">
        <v>9</v>
      </c>
      <c r="M9" s="43">
        <f>$Q$9</f>
        <v/>
      </c>
      <c r="N9" s="43">
        <f>N8+M9</f>
        <v/>
      </c>
      <c r="O9" s="43">
        <f>INDEX(Listen!$N$2:$N$5,$R$2)&amp;""</f>
        <v/>
      </c>
      <c r="P9" s="43">
        <f>""</f>
        <v/>
      </c>
      <c r="Q9" s="43">
        <f>IF($O$9&lt;&gt;"",1,0)</f>
        <v/>
      </c>
      <c r="R9" s="43">
        <f>TRIM(Eingabe!$D$10&amp;"")</f>
        <v/>
      </c>
      <c r="S9" s="43" t="n"/>
      <c r="T9" s="43" t="n"/>
      <c r="U9" s="43" t="n"/>
      <c r="V9" s="43" t="n"/>
      <c r="W9" s="43" t="n">
        <v>1</v>
      </c>
    </row>
    <row r="10" ht="15" customHeight="1">
      <c r="A10" s="31">
        <f>IF(Eingabe!D16="","",Eingabe!D16)</f>
        <v/>
      </c>
      <c r="E10" s="46" t="inlineStr">
        <is>
          <t>Datum</t>
        </is>
      </c>
      <c r="F10" s="48">
        <f>IF(Eingabe!D14="","",Eingabe!D14)</f>
        <v/>
      </c>
      <c r="L10" s="43" t="n">
        <v>10</v>
      </c>
      <c r="M10" s="43">
        <f>$Q$10+$S$10</f>
        <v/>
      </c>
      <c r="N10" s="43">
        <f>N9+M10</f>
        <v/>
      </c>
      <c r="O10" s="43">
        <f>""</f>
        <v/>
      </c>
      <c r="P10" s="43">
        <f>""</f>
        <v/>
      </c>
      <c r="Q10" s="43" t="n">
        <v>1</v>
      </c>
      <c r="R10" s="43">
        <f>IF(Eingabe!$D$28="Ja",1,0)</f>
        <v/>
      </c>
      <c r="S10" s="43">
        <f>IF($V$10&lt;2,0,IF(AND($U$10+$V$10-1&gt;$R$11-2,$U$10&lt;=$R$11+2),$R$11+3-$U$10,IF(AND($U$10+$V$10-1&gt;$R$11+$R$12-2,$U$10&lt;=$R$11+$R$12+2),$R$11+$R$12+3-$U$10,0)))</f>
        <v/>
      </c>
      <c r="T10" s="43" t="n"/>
      <c r="U10" s="43">
        <f>Berechnung!$E$71+$N$9+SUM($Q$10:$Q$10)+1</f>
        <v/>
      </c>
      <c r="V10" s="43">
        <f>SUM($Q$11:$Q$13)</f>
        <v/>
      </c>
      <c r="W10" s="43" t="n">
        <v>0</v>
      </c>
    </row>
    <row r="11" ht="15" customHeight="1">
      <c r="A11" s="31">
        <f>IF(Eingabe!D17="","",Eingabe!D17)</f>
        <v/>
      </c>
      <c r="E11" s="46">
        <f>INDEX(Listen!$F$2:$F$4,$R$1)&amp;""</f>
        <v/>
      </c>
      <c r="F11" s="48">
        <f>IF($E$11="","",IF(Eingabe!D15="","",Eingabe!D15))</f>
        <v/>
      </c>
      <c r="L11" s="43" t="n">
        <v>11</v>
      </c>
      <c r="M11" s="43">
        <f>$Q$11</f>
        <v/>
      </c>
      <c r="N11" s="43">
        <f>N10+M11</f>
        <v/>
      </c>
      <c r="O11" s="43">
        <f>IF($R$7=1,"Zahlungsbedingungen: innerhalb von "&amp;N(Eingabe!$D$37)&amp;" Tagen abzüglich "&amp;ROUND(N(Eingabe!$D$36)*100,2)&amp;" % Skonto,","Zahlungsbedingungen: "&amp;IF(N(Eingabe!$D$38)=0,"sofort","innerhalb von "&amp;N(Eingabe!$D$38)&amp;" Tagen")&amp;" ohne Abzug.")</f>
        <v/>
      </c>
      <c r="P11" s="43">
        <f>""</f>
        <v/>
      </c>
      <c r="Q11" s="43" t="n">
        <v>1</v>
      </c>
      <c r="R11" s="43" t="n">
        <v>35</v>
      </c>
      <c r="S11" s="43" t="n"/>
      <c r="T11" s="43" t="n"/>
      <c r="U11" s="43" t="n"/>
      <c r="V11" s="43" t="n"/>
      <c r="W11" s="43" t="n">
        <v>2</v>
      </c>
    </row>
    <row r="12" ht="15" customHeight="1">
      <c r="A12" s="31">
        <f>IF(Eingabe!D18="","",Eingabe!D18)</f>
        <v/>
      </c>
      <c r="E12" s="46" t="inlineStr">
        <is>
          <t>Bearbeiter</t>
        </is>
      </c>
      <c r="F12" s="47">
        <f>IF(Eingabe!D20="","",Eingabe!D20)</f>
        <v/>
      </c>
      <c r="L12" s="43" t="n">
        <v>12</v>
      </c>
      <c r="M12" s="43">
        <f>$Q$12</f>
        <v/>
      </c>
      <c r="N12" s="43">
        <f>N11+M12</f>
        <v/>
      </c>
      <c r="O12" s="43">
        <f>"innerhalb von "&amp;N(Eingabe!$D$38)&amp;" Tagen ohne Abzug."</f>
        <v/>
      </c>
      <c r="P12" s="43">
        <f>""</f>
        <v/>
      </c>
      <c r="Q12" s="43">
        <f>$R$7</f>
        <v/>
      </c>
      <c r="R12" s="43" t="n">
        <v>59</v>
      </c>
      <c r="S12" s="43" t="n"/>
      <c r="T12" s="43" t="n"/>
      <c r="U12" s="43" t="n"/>
      <c r="V12" s="43" t="n"/>
      <c r="W12" s="43" t="n">
        <v>2</v>
      </c>
    </row>
    <row r="13" ht="15" customHeight="1">
      <c r="L13" s="43" t="n">
        <v>13</v>
      </c>
      <c r="M13" s="43">
        <f>$Q$13</f>
        <v/>
      </c>
      <c r="N13" s="43">
        <f>N12+M13</f>
        <v/>
      </c>
      <c r="O13" s="43">
        <f>"Bankverbindung: "&amp;IF(UPPER(LEFT($R$9,4))="IBAN",$R$9,"IBAN "&amp;$R$9)</f>
        <v/>
      </c>
      <c r="P13" s="43">
        <f>""</f>
        <v/>
      </c>
      <c r="Q13" s="43">
        <f>IF($R$9&lt;&gt;"",1,0)</f>
        <v/>
      </c>
      <c r="R13" s="43" t="n"/>
      <c r="S13" s="43" t="n"/>
      <c r="T13" s="43" t="n"/>
      <c r="U13" s="43" t="n"/>
      <c r="V13" s="43" t="n"/>
      <c r="W13" s="43" t="n">
        <v>2</v>
      </c>
    </row>
    <row r="14" ht="15" customHeight="1">
      <c r="L14" s="43" t="n">
        <v>14</v>
      </c>
      <c r="M14" s="43">
        <f>$Q$14+$S$14</f>
        <v/>
      </c>
      <c r="N14" s="43">
        <f>N13+M14</f>
        <v/>
      </c>
      <c r="O14" s="43">
        <f>"Alle Preise in Euro. Ausführung nach den Fachregeln des Deutschen Dachdeckerhandwerks"</f>
        <v/>
      </c>
      <c r="P14" s="43">
        <f>""</f>
        <v/>
      </c>
      <c r="Q14" s="43" t="n">
        <v>1</v>
      </c>
      <c r="R14" s="43" t="n"/>
      <c r="S14" s="43">
        <f>IF($V$14&lt;2,0,IF(AND($U$14+$V$14-1&gt;$R$11-2,$U$14&lt;=$R$11+2),$R$11+3-$U$14,IF(AND($U$14+$V$14-1&gt;$R$11+$R$12-2,$U$14&lt;=$R$11+$R$12+2),$R$11+$R$12+3-$U$14,0)))</f>
        <v/>
      </c>
      <c r="T14" s="43" t="n"/>
      <c r="U14" s="43">
        <f>Berechnung!$E$71+$N$13+1</f>
        <v/>
      </c>
      <c r="V14" s="43">
        <f>SUM($Q$14:$Q$15)</f>
        <v/>
      </c>
      <c r="W14" s="43" t="n">
        <v>3</v>
      </c>
    </row>
    <row r="15" ht="16" customHeight="1">
      <c r="A15" s="29">
        <f>INDEX(Listen!$A$2:$A$4,$R$1)&amp;" Dachdecker- und Zimmererarbeiten — TESTVERSION"</f>
        <v/>
      </c>
      <c r="L15" s="43" t="n">
        <v>15</v>
      </c>
      <c r="M15" s="43">
        <f>$Q$15</f>
        <v/>
      </c>
      <c r="N15" s="43">
        <f>N14+M15</f>
        <v/>
      </c>
      <c r="O15" s="43">
        <f>"und VOB/B."</f>
        <v/>
      </c>
      <c r="P15" s="43">
        <f>""</f>
        <v/>
      </c>
      <c r="Q15" s="43" t="n">
        <v>1</v>
      </c>
      <c r="R15" s="43" t="n"/>
      <c r="S15" s="43" t="n"/>
      <c r="T15" s="43" t="n"/>
      <c r="U15" s="43" t="n"/>
      <c r="V15" s="43" t="n"/>
      <c r="W15" s="43" t="n">
        <v>3</v>
      </c>
    </row>
    <row r="16" ht="15" customHeight="1">
      <c r="A16" s="31" t="inlineStr">
        <is>
          <t>Bauvorhaben:</t>
        </is>
      </c>
      <c r="C16" s="35">
        <f>IF(Eingabe!D19="","",Eingabe!D19)</f>
        <v/>
      </c>
      <c r="L16" s="43" t="n">
        <v>16</v>
      </c>
      <c r="M16" s="43">
        <f>$Q$16+$S$16</f>
        <v/>
      </c>
      <c r="N16" s="43">
        <f>N15+M16</f>
        <v/>
      </c>
      <c r="O16" s="43">
        <f>"Nicht enthalten sind Gerüststellung über die ausgewiesene Menge hinaus sowie Elektro-"</f>
        <v/>
      </c>
      <c r="P16" s="43">
        <f>""</f>
        <v/>
      </c>
      <c r="Q16" s="43" t="n">
        <v>1</v>
      </c>
      <c r="R16" s="43" t="n"/>
      <c r="S16" s="43">
        <f>IF($V$16&lt;2,0,IF(AND($U$16+$V$16-1&gt;$R$11-2,$U$16&lt;=$R$11+2),$R$11+3-$U$16,IF(AND($U$16+$V$16-1&gt;$R$11+$R$12-2,$U$16&lt;=$R$11+$R$12+2),$R$11+$R$12+3-$U$16,0)))</f>
        <v/>
      </c>
      <c r="T16" s="43" t="n"/>
      <c r="U16" s="43">
        <f>Berechnung!$E$71+$N$15+1</f>
        <v/>
      </c>
      <c r="V16" s="43">
        <f>SUM($Q$16:$Q$17)</f>
        <v/>
      </c>
      <c r="W16" s="43" t="n">
        <v>4</v>
      </c>
    </row>
    <row r="17" ht="15" customHeight="1">
      <c r="A17" s="31" t="inlineStr">
        <is>
          <t>Ausführungszeitraum:</t>
        </is>
      </c>
      <c r="C17" s="31">
        <f>IF(Eingabe!D21="","",Eingabe!D21)</f>
        <v/>
      </c>
      <c r="L17" s="43" t="n">
        <v>17</v>
      </c>
      <c r="M17" s="43">
        <f>$Q$17</f>
        <v/>
      </c>
      <c r="N17" s="43">
        <f>N16+M17</f>
        <v/>
      </c>
      <c r="O17" s="43">
        <f>"und Blitzschutzarbeiten."</f>
        <v/>
      </c>
      <c r="P17" s="43">
        <f>""</f>
        <v/>
      </c>
      <c r="Q17" s="43" t="n">
        <v>1</v>
      </c>
      <c r="R17" s="43" t="n"/>
      <c r="S17" s="43" t="n"/>
      <c r="T17" s="43" t="n"/>
      <c r="U17" s="43" t="n"/>
      <c r="V17" s="43" t="n"/>
      <c r="W17" s="43" t="n">
        <v>4</v>
      </c>
    </row>
    <row r="18" ht="15" customHeight="1">
      <c r="A18" s="31" t="inlineStr">
        <is>
          <t>Dachform und Neigung:</t>
        </is>
      </c>
      <c r="C18" s="31">
        <f>IF(Eingabe!D22="","",Eingabe!D22)</f>
        <v/>
      </c>
      <c r="L18" s="43" t="n">
        <v>18</v>
      </c>
      <c r="M18" s="43">
        <f>$Q$18+$S$18</f>
        <v/>
      </c>
      <c r="N18" s="43">
        <f>N17+M18</f>
        <v/>
      </c>
      <c r="O18" s="43">
        <f>"Witterungsbedingte Unterbrechungen verlängern die Ausführungsfrist ohne Mehrkosten für"</f>
        <v/>
      </c>
      <c r="P18" s="43">
        <f>""</f>
        <v/>
      </c>
      <c r="Q18" s="43" t="n">
        <v>1</v>
      </c>
      <c r="R18" s="43" t="n"/>
      <c r="S18" s="43">
        <f>IF($V$18&lt;2,0,IF(AND($U$18+$V$18-1&gt;$R$11-2,$U$18&lt;=$R$11+2),$R$11+3-$U$18,IF(AND($U$18+$V$18-1&gt;$R$11+$R$12-2,$U$18&lt;=$R$11+$R$12+2),$R$11+$R$12+3-$U$18,0)))</f>
        <v/>
      </c>
      <c r="T18" s="43" t="n"/>
      <c r="U18" s="43">
        <f>Berechnung!$E$71+$N$17+1</f>
        <v/>
      </c>
      <c r="V18" s="43">
        <f>SUM($Q$18:$Q$19)</f>
        <v/>
      </c>
      <c r="W18" s="43" t="n">
        <v>5</v>
      </c>
    </row>
    <row r="19" ht="15" customHeight="1">
      <c r="A19" s="31" t="inlineStr">
        <is>
          <t>Dachfläche gesamt (m²):</t>
        </is>
      </c>
      <c r="C19" s="31">
        <f>IF(Eingabe!D23="","",Eingabe!D23)</f>
        <v/>
      </c>
      <c r="L19" s="43" t="n">
        <v>19</v>
      </c>
      <c r="M19" s="43">
        <f>$Q$19</f>
        <v/>
      </c>
      <c r="N19" s="43">
        <f>N18+M19</f>
        <v/>
      </c>
      <c r="O19" s="43">
        <f>"den Auftraggeber."</f>
        <v/>
      </c>
      <c r="P19" s="43">
        <f>""</f>
        <v/>
      </c>
      <c r="Q19" s="43" t="n">
        <v>1</v>
      </c>
      <c r="R19" s="43" t="n"/>
      <c r="S19" s="43" t="n"/>
      <c r="T19" s="43" t="n"/>
      <c r="U19" s="43" t="n"/>
      <c r="V19" s="43" t="n"/>
      <c r="W19" s="43" t="n">
        <v>5</v>
      </c>
    </row>
    <row r="20" ht="15" customHeight="1">
      <c r="L20" s="43" t="n">
        <v>20</v>
      </c>
      <c r="M20" s="43">
        <f>$Q$20+$S$20</f>
        <v/>
      </c>
      <c r="N20" s="43">
        <f>N19+M20</f>
        <v/>
      </c>
      <c r="O20" s="43">
        <f>"Nebenabreden und Änderungen bedürfen der Schriftform. Es gelten unsere allgemeinen"</f>
        <v/>
      </c>
      <c r="P20" s="43">
        <f>""</f>
        <v/>
      </c>
      <c r="Q20" s="43" t="n">
        <v>1</v>
      </c>
      <c r="R20" s="43" t="n"/>
      <c r="S20" s="43">
        <f>IF($V$20&lt;2,0,IF(AND($U$20+$V$20-1&gt;$R$11-2,$U$20&lt;=$R$11+2),$R$11+3-$U$20,IF(AND($U$20+$V$20-1&gt;$R$11+$R$12-2,$U$20&lt;=$R$11+$R$12+2),$R$11+$R$12+3-$U$20,0)))</f>
        <v/>
      </c>
      <c r="T20" s="43" t="n"/>
      <c r="U20" s="43">
        <f>Berechnung!$E$71+$N$19+1</f>
        <v/>
      </c>
      <c r="V20" s="43">
        <f>SUM($Q$20:$Q$21)</f>
        <v/>
      </c>
      <c r="W20" s="43" t="n">
        <v>6</v>
      </c>
    </row>
    <row r="21" ht="28" customHeight="1">
      <c r="A21" s="49">
        <f>INDEX(Listen!$C$2:$C$4,$R$1)&amp;""&amp;"  Dieses Angebot wurde mit der kostenlosen Testversion erstellt und ist nicht für den Versand an Kunden bestimmt."</f>
        <v/>
      </c>
      <c r="L21" s="43" t="n">
        <v>21</v>
      </c>
      <c r="M21" s="43">
        <f>$Q$21</f>
        <v/>
      </c>
      <c r="N21" s="43">
        <f>N20+M21</f>
        <v/>
      </c>
      <c r="O21" s="43">
        <f>"Geschäftsbedingungen."</f>
        <v/>
      </c>
      <c r="P21" s="43">
        <f>""</f>
        <v/>
      </c>
      <c r="Q21" s="43" t="n">
        <v>1</v>
      </c>
      <c r="R21" s="43" t="n"/>
      <c r="S21" s="43" t="n"/>
      <c r="T21" s="43" t="n"/>
      <c r="U21" s="43" t="n"/>
      <c r="V21" s="43" t="n"/>
      <c r="W21" s="43" t="n">
        <v>6</v>
      </c>
    </row>
    <row r="22" ht="20" customHeight="1">
      <c r="A22" s="50">
        <f>IF(Berechnung!$E$77=0,"","ACHTUNG - NICHT VERSENDEN: "&amp;Berechnung!$E$75&amp;" Position(en) mit Fehlerhinweis, "&amp;Berechnung!$E$76&amp;" ungültige Einstellung(en) - siehe Blatt Berechnung.")</f>
        <v/>
      </c>
      <c r="L22" s="43" t="n">
        <v>22</v>
      </c>
      <c r="M22" s="43">
        <f>$Q$22+$S$22</f>
        <v/>
      </c>
      <c r="N22" s="43">
        <f>N21+M22</f>
        <v/>
      </c>
      <c r="O22" s="43">
        <f>""</f>
        <v/>
      </c>
      <c r="P22" s="43">
        <f>""</f>
        <v/>
      </c>
      <c r="Q22" s="43" t="n">
        <v>1</v>
      </c>
      <c r="R22" s="43" t="n"/>
      <c r="S22" s="43">
        <f>IF($V$22&lt;2,0,IF(AND($U$22+$V$22-1&gt;$R$11-2,$U$22&lt;=$R$11+2),$R$11+3-$U$22,IF(AND($U$22+$V$22-1&gt;$R$11+$R$12-2,$U$22&lt;=$R$11+$R$12+2),$R$11+$R$12+3-$U$22,0)))</f>
        <v/>
      </c>
      <c r="T22" s="43" t="n"/>
      <c r="U22" s="43">
        <f>Berechnung!$E$71+$N$21+SUM($Q$22:$Q$22)+1</f>
        <v/>
      </c>
      <c r="V22" s="43">
        <f>SUM($Q$23:$Q$27)</f>
        <v/>
      </c>
      <c r="W22" s="43" t="n">
        <v>0</v>
      </c>
    </row>
    <row r="23" ht="24" customHeight="1">
      <c r="A23" s="20" t="inlineStr">
        <is>
          <t>Pos.</t>
        </is>
      </c>
      <c r="B23" s="20" t="inlineStr">
        <is>
          <t>Bezeichnung der Leistung</t>
        </is>
      </c>
      <c r="C23" s="20" t="inlineStr">
        <is>
          <t>Menge</t>
        </is>
      </c>
      <c r="D23" s="20" t="inlineStr">
        <is>
          <t>Einheit</t>
        </is>
      </c>
      <c r="E23" s="20" t="inlineStr">
        <is>
          <t>Einzelpreis</t>
        </is>
      </c>
      <c r="F23" s="20" t="inlineStr">
        <is>
          <t>Gesamtpreis</t>
        </is>
      </c>
      <c r="L23" s="43" t="n">
        <v>23</v>
      </c>
      <c r="M23" s="43">
        <f>$Q$23</f>
        <v/>
      </c>
      <c r="N23" s="43">
        <f>N22+M23</f>
        <v/>
      </c>
      <c r="O23" s="43">
        <f>"Mit freundlichen Grüßen"</f>
        <v/>
      </c>
      <c r="P23" s="43">
        <f>""</f>
        <v/>
      </c>
      <c r="Q23" s="43" t="n">
        <v>1</v>
      </c>
      <c r="R23" s="43" t="n"/>
      <c r="S23" s="43" t="n"/>
      <c r="T23" s="43" t="n"/>
      <c r="U23" s="43" t="n"/>
      <c r="V23" s="43" t="n"/>
      <c r="W23" s="43" t="n">
        <v>7</v>
      </c>
    </row>
    <row r="24" ht="15" customHeight="1">
      <c r="A24" s="51">
        <f>IF($H24&gt;0,1,"")</f>
        <v/>
      </c>
      <c r="B24" s="52">
        <f>IF($H24&gt;0,INDEX(Berechnung!$D$4:$D$53,$H24)&amp;IF(INDEX(Eingabe!$J$43:$J$92,$H24)="",""," – "&amp;INDEX(Eingabe!$J$43:$J$92,$H24))&amp;IF(OR(INDEX(Berechnung!$B$4:$B$53,$H24)="",INDEX(Berechnung!$B$4:$B$53,$H24)=INDEX(Bereiche,1)),""," ("&amp;INDEX(Berechnung!$B$4:$B$53,$H24)&amp;")"),IF($J24&gt;0,INDEX($O$1:$O$27,$J24),""))</f>
        <v/>
      </c>
      <c r="C24" s="53">
        <f>IF($H24&gt;0,INDEX(Berechnung!$E$4:$E$53,$H24),"")</f>
        <v/>
      </c>
      <c r="D24" s="51">
        <f>IF($H24&gt;0,INDEX(Berechnung!$F$4:$F$53,$H24),"")</f>
        <v/>
      </c>
      <c r="E24" s="54">
        <f>IF($H24&gt;0,INDEX(Berechnung!$P$4:$P$53,$H24),"")</f>
        <v/>
      </c>
      <c r="F24" s="54">
        <f>IF($H24&gt;0,INDEX(Berechnung!$O$4:$O$53,$H24),IF($J24&gt;0,INDEX($P$1:$P$27,$J24),""))</f>
        <v/>
      </c>
      <c r="H24" s="43">
        <f>IFERROR(MATCH(1,Berechnung!$A$4:$A$53,0),0)</f>
        <v/>
      </c>
      <c r="I24" s="43">
        <f>1-Berechnung!$E$71</f>
        <v/>
      </c>
      <c r="J24" s="43">
        <f>IF($I24&gt;=1,IFERROR(MATCH($I24,$N$1:$N$27,0),0),0)</f>
        <v/>
      </c>
      <c r="L24" s="43" t="n">
        <v>24</v>
      </c>
      <c r="M24" s="43">
        <f>$Q$24</f>
        <v/>
      </c>
      <c r="N24" s="43">
        <f>N23+M24</f>
        <v/>
      </c>
      <c r="O24" s="43">
        <f>""</f>
        <v/>
      </c>
      <c r="P24" s="43">
        <f>""</f>
        <v/>
      </c>
      <c r="Q24" s="43" t="n">
        <v>1</v>
      </c>
      <c r="R24" s="43" t="n"/>
      <c r="S24" s="43" t="n"/>
      <c r="T24" s="43" t="n"/>
      <c r="U24" s="43" t="n"/>
      <c r="V24" s="43" t="n"/>
      <c r="W24" s="43" t="n">
        <v>7</v>
      </c>
    </row>
    <row r="25" ht="15" customHeight="1">
      <c r="A25" s="51">
        <f>IF($H25&gt;0,2,"")</f>
        <v/>
      </c>
      <c r="B25" s="52">
        <f>IF($H25&gt;0,INDEX(Berechnung!$D$4:$D$53,$H25)&amp;IF(INDEX(Eingabe!$J$43:$J$92,$H25)="",""," – "&amp;INDEX(Eingabe!$J$43:$J$92,$H25))&amp;IF(OR(INDEX(Berechnung!$B$4:$B$53,$H25)="",INDEX(Berechnung!$B$4:$B$53,$H25)=INDEX(Bereiche,1)),""," ("&amp;INDEX(Berechnung!$B$4:$B$53,$H25)&amp;")"),IF($J25&gt;0,INDEX($O$1:$O$27,$J25),""))</f>
        <v/>
      </c>
      <c r="C25" s="53">
        <f>IF($H25&gt;0,INDEX(Berechnung!$E$4:$E$53,$H25),"")</f>
        <v/>
      </c>
      <c r="D25" s="51">
        <f>IF($H25&gt;0,INDEX(Berechnung!$F$4:$F$53,$H25),"")</f>
        <v/>
      </c>
      <c r="E25" s="54">
        <f>IF($H25&gt;0,INDEX(Berechnung!$P$4:$P$53,$H25),"")</f>
        <v/>
      </c>
      <c r="F25" s="54">
        <f>IF($H25&gt;0,INDEX(Berechnung!$O$4:$O$53,$H25),IF($J25&gt;0,INDEX($P$1:$P$27,$J25),""))</f>
        <v/>
      </c>
      <c r="H25" s="43">
        <f>IFERROR(MATCH(2,Berechnung!$A$4:$A$53,0),0)</f>
        <v/>
      </c>
      <c r="I25" s="43">
        <f>2-Berechnung!$E$71</f>
        <v/>
      </c>
      <c r="J25" s="43">
        <f>IF($I25&gt;=1,IFERROR(MATCH($I25,$N$1:$N$27,0),0),0)</f>
        <v/>
      </c>
      <c r="L25" s="43" t="n">
        <v>25</v>
      </c>
      <c r="M25" s="43">
        <f>$Q$25</f>
        <v/>
      </c>
      <c r="N25" s="43">
        <f>N24+M25</f>
        <v/>
      </c>
      <c r="O25" s="43">
        <f>""</f>
        <v/>
      </c>
      <c r="P25" s="43">
        <f>""</f>
        <v/>
      </c>
      <c r="Q25" s="43" t="n">
        <v>1</v>
      </c>
      <c r="R25" s="43" t="n"/>
      <c r="S25" s="43" t="n"/>
      <c r="T25" s="43" t="n"/>
      <c r="U25" s="43" t="n"/>
      <c r="V25" s="43" t="n"/>
      <c r="W25" s="43" t="n">
        <v>7</v>
      </c>
    </row>
    <row r="26" ht="15" customHeight="1">
      <c r="A26" s="51">
        <f>IF($H26&gt;0,3,"")</f>
        <v/>
      </c>
      <c r="B26" s="52">
        <f>IF($H26&gt;0,INDEX(Berechnung!$D$4:$D$53,$H26)&amp;IF(INDEX(Eingabe!$J$43:$J$92,$H26)="",""," – "&amp;INDEX(Eingabe!$J$43:$J$92,$H26))&amp;IF(OR(INDEX(Berechnung!$B$4:$B$53,$H26)="",INDEX(Berechnung!$B$4:$B$53,$H26)=INDEX(Bereiche,1)),""," ("&amp;INDEX(Berechnung!$B$4:$B$53,$H26)&amp;")"),IF($J26&gt;0,INDEX($O$1:$O$27,$J26),""))</f>
        <v/>
      </c>
      <c r="C26" s="53">
        <f>IF($H26&gt;0,INDEX(Berechnung!$E$4:$E$53,$H26),"")</f>
        <v/>
      </c>
      <c r="D26" s="51">
        <f>IF($H26&gt;0,INDEX(Berechnung!$F$4:$F$53,$H26),"")</f>
        <v/>
      </c>
      <c r="E26" s="54">
        <f>IF($H26&gt;0,INDEX(Berechnung!$P$4:$P$53,$H26),"")</f>
        <v/>
      </c>
      <c r="F26" s="54">
        <f>IF($H26&gt;0,INDEX(Berechnung!$O$4:$O$53,$H26),IF($J26&gt;0,INDEX($P$1:$P$27,$J26),""))</f>
        <v/>
      </c>
      <c r="H26" s="43">
        <f>IFERROR(MATCH(3,Berechnung!$A$4:$A$53,0),0)</f>
        <v/>
      </c>
      <c r="I26" s="43">
        <f>3-Berechnung!$E$71</f>
        <v/>
      </c>
      <c r="J26" s="43">
        <f>IF($I26&gt;=1,IFERROR(MATCH($I26,$N$1:$N$27,0),0),0)</f>
        <v/>
      </c>
      <c r="L26" s="43" t="n">
        <v>26</v>
      </c>
      <c r="M26" s="43">
        <f>$Q$26</f>
        <v/>
      </c>
      <c r="N26" s="43">
        <f>N25+M26</f>
        <v/>
      </c>
      <c r="O26" s="43">
        <f>IF(Eingabe!$D$20="","",Eingabe!$D$20)</f>
        <v/>
      </c>
      <c r="P26" s="43">
        <f>""</f>
        <v/>
      </c>
      <c r="Q26" s="43" t="n">
        <v>1</v>
      </c>
      <c r="R26" s="43" t="n"/>
      <c r="S26" s="43" t="n"/>
      <c r="T26" s="43" t="n"/>
      <c r="U26" s="43" t="n"/>
      <c r="V26" s="43" t="n"/>
      <c r="W26" s="43" t="n">
        <v>7</v>
      </c>
    </row>
    <row r="27" ht="15" customHeight="1">
      <c r="A27" s="51">
        <f>IF($H27&gt;0,4,"")</f>
        <v/>
      </c>
      <c r="B27" s="52">
        <f>IF($H27&gt;0,INDEX(Berechnung!$D$4:$D$53,$H27)&amp;IF(INDEX(Eingabe!$J$43:$J$92,$H27)="",""," – "&amp;INDEX(Eingabe!$J$43:$J$92,$H27))&amp;IF(OR(INDEX(Berechnung!$B$4:$B$53,$H27)="",INDEX(Berechnung!$B$4:$B$53,$H27)=INDEX(Bereiche,1)),""," ("&amp;INDEX(Berechnung!$B$4:$B$53,$H27)&amp;")"),IF($J27&gt;0,INDEX($O$1:$O$27,$J27),""))</f>
        <v/>
      </c>
      <c r="C27" s="53">
        <f>IF($H27&gt;0,INDEX(Berechnung!$E$4:$E$53,$H27),"")</f>
        <v/>
      </c>
      <c r="D27" s="51">
        <f>IF($H27&gt;0,INDEX(Berechnung!$F$4:$F$53,$H27),"")</f>
        <v/>
      </c>
      <c r="E27" s="54">
        <f>IF($H27&gt;0,INDEX(Berechnung!$P$4:$P$53,$H27),"")</f>
        <v/>
      </c>
      <c r="F27" s="54">
        <f>IF($H27&gt;0,INDEX(Berechnung!$O$4:$O$53,$H27),IF($J27&gt;0,INDEX($P$1:$P$27,$J27),""))</f>
        <v/>
      </c>
      <c r="H27" s="43">
        <f>IFERROR(MATCH(4,Berechnung!$A$4:$A$53,0),0)</f>
        <v/>
      </c>
      <c r="I27" s="43">
        <f>4-Berechnung!$E$71</f>
        <v/>
      </c>
      <c r="J27" s="43">
        <f>IF($I27&gt;=1,IFERROR(MATCH($I27,$N$1:$N$27,0),0),0)</f>
        <v/>
      </c>
      <c r="L27" s="43" t="n">
        <v>27</v>
      </c>
      <c r="M27" s="43">
        <f>$Q$27</f>
        <v/>
      </c>
      <c r="N27" s="43">
        <f>N26+M27</f>
        <v/>
      </c>
      <c r="O27" s="43">
        <f>"Unterschrift / Stempel"</f>
        <v/>
      </c>
      <c r="P27" s="43">
        <f>""</f>
        <v/>
      </c>
      <c r="Q27" s="43" t="n">
        <v>1</v>
      </c>
      <c r="R27" s="43" t="n"/>
      <c r="S27" s="43" t="n"/>
      <c r="T27" s="43" t="n"/>
      <c r="U27" s="43" t="n"/>
      <c r="V27" s="43" t="n"/>
      <c r="W27" s="43" t="n">
        <v>7</v>
      </c>
    </row>
    <row r="28" ht="15" customHeight="1">
      <c r="A28" s="51">
        <f>IF($H28&gt;0,5,"")</f>
        <v/>
      </c>
      <c r="B28" s="52">
        <f>IF($H28&gt;0,INDEX(Berechnung!$D$4:$D$53,$H28)&amp;IF(INDEX(Eingabe!$J$43:$J$92,$H28)="",""," – "&amp;INDEX(Eingabe!$J$43:$J$92,$H28))&amp;IF(OR(INDEX(Berechnung!$B$4:$B$53,$H28)="",INDEX(Berechnung!$B$4:$B$53,$H28)=INDEX(Bereiche,1)),""," ("&amp;INDEX(Berechnung!$B$4:$B$53,$H28)&amp;")"),IF($J28&gt;0,INDEX($O$1:$O$27,$J28),""))</f>
        <v/>
      </c>
      <c r="C28" s="53">
        <f>IF($H28&gt;0,INDEX(Berechnung!$E$4:$E$53,$H28),"")</f>
        <v/>
      </c>
      <c r="D28" s="51">
        <f>IF($H28&gt;0,INDEX(Berechnung!$F$4:$F$53,$H28),"")</f>
        <v/>
      </c>
      <c r="E28" s="54">
        <f>IF($H28&gt;0,INDEX(Berechnung!$P$4:$P$53,$H28),"")</f>
        <v/>
      </c>
      <c r="F28" s="54">
        <f>IF($H28&gt;0,INDEX(Berechnung!$O$4:$O$53,$H28),IF($J28&gt;0,INDEX($P$1:$P$27,$J28),""))</f>
        <v/>
      </c>
      <c r="H28" s="43">
        <f>IFERROR(MATCH(5,Berechnung!$A$4:$A$53,0),0)</f>
        <v/>
      </c>
      <c r="I28" s="43">
        <f>5-Berechnung!$E$71</f>
        <v/>
      </c>
      <c r="J28" s="43">
        <f>IF($I28&gt;=1,IFERROR(MATCH($I28,$N$1:$N$27,0),0),0)</f>
        <v/>
      </c>
    </row>
    <row r="29" ht="15" customHeight="1">
      <c r="A29" s="51">
        <f>IF($H29&gt;0,6,"")</f>
        <v/>
      </c>
      <c r="B29" s="52">
        <f>IF($H29&gt;0,INDEX(Berechnung!$D$4:$D$53,$H29)&amp;IF(INDEX(Eingabe!$J$43:$J$92,$H29)="",""," – "&amp;INDEX(Eingabe!$J$43:$J$92,$H29))&amp;IF(OR(INDEX(Berechnung!$B$4:$B$53,$H29)="",INDEX(Berechnung!$B$4:$B$53,$H29)=INDEX(Bereiche,1)),""," ("&amp;INDEX(Berechnung!$B$4:$B$53,$H29)&amp;")"),IF($J29&gt;0,INDEX($O$1:$O$27,$J29),""))</f>
        <v/>
      </c>
      <c r="C29" s="53">
        <f>IF($H29&gt;0,INDEX(Berechnung!$E$4:$E$53,$H29),"")</f>
        <v/>
      </c>
      <c r="D29" s="51">
        <f>IF($H29&gt;0,INDEX(Berechnung!$F$4:$F$53,$H29),"")</f>
        <v/>
      </c>
      <c r="E29" s="54">
        <f>IF($H29&gt;0,INDEX(Berechnung!$P$4:$P$53,$H29),"")</f>
        <v/>
      </c>
      <c r="F29" s="54">
        <f>IF($H29&gt;0,INDEX(Berechnung!$O$4:$O$53,$H29),IF($J29&gt;0,INDEX($P$1:$P$27,$J29),""))</f>
        <v/>
      </c>
      <c r="H29" s="43">
        <f>IFERROR(MATCH(6,Berechnung!$A$4:$A$53,0),0)</f>
        <v/>
      </c>
      <c r="I29" s="43">
        <f>6-Berechnung!$E$71</f>
        <v/>
      </c>
      <c r="J29" s="43">
        <f>IF($I29&gt;=1,IFERROR(MATCH($I29,$N$1:$N$27,0),0),0)</f>
        <v/>
      </c>
    </row>
    <row r="30" ht="15" customHeight="1">
      <c r="A30" s="51">
        <f>IF($H30&gt;0,7,"")</f>
        <v/>
      </c>
      <c r="B30" s="52">
        <f>IF($H30&gt;0,INDEX(Berechnung!$D$4:$D$53,$H30)&amp;IF(INDEX(Eingabe!$J$43:$J$92,$H30)="",""," – "&amp;INDEX(Eingabe!$J$43:$J$92,$H30))&amp;IF(OR(INDEX(Berechnung!$B$4:$B$53,$H30)="",INDEX(Berechnung!$B$4:$B$53,$H30)=INDEX(Bereiche,1)),""," ("&amp;INDEX(Berechnung!$B$4:$B$53,$H30)&amp;")"),IF($J30&gt;0,INDEX($O$1:$O$27,$J30),""))</f>
        <v/>
      </c>
      <c r="C30" s="53">
        <f>IF($H30&gt;0,INDEX(Berechnung!$E$4:$E$53,$H30),"")</f>
        <v/>
      </c>
      <c r="D30" s="51">
        <f>IF($H30&gt;0,INDEX(Berechnung!$F$4:$F$53,$H30),"")</f>
        <v/>
      </c>
      <c r="E30" s="54">
        <f>IF($H30&gt;0,INDEX(Berechnung!$P$4:$P$53,$H30),"")</f>
        <v/>
      </c>
      <c r="F30" s="54">
        <f>IF($H30&gt;0,INDEX(Berechnung!$O$4:$O$53,$H30),IF($J30&gt;0,INDEX($P$1:$P$27,$J30),""))</f>
        <v/>
      </c>
      <c r="H30" s="43">
        <f>IFERROR(MATCH(7,Berechnung!$A$4:$A$53,0),0)</f>
        <v/>
      </c>
      <c r="I30" s="43">
        <f>7-Berechnung!$E$71</f>
        <v/>
      </c>
      <c r="J30" s="43">
        <f>IF($I30&gt;=1,IFERROR(MATCH($I30,$N$1:$N$27,0),0),0)</f>
        <v/>
      </c>
    </row>
    <row r="31" ht="15" customHeight="1">
      <c r="A31" s="51">
        <f>IF($H31&gt;0,8,"")</f>
        <v/>
      </c>
      <c r="B31" s="52">
        <f>IF($H31&gt;0,INDEX(Berechnung!$D$4:$D$53,$H31)&amp;IF(INDEX(Eingabe!$J$43:$J$92,$H31)="",""," – "&amp;INDEX(Eingabe!$J$43:$J$92,$H31))&amp;IF(OR(INDEX(Berechnung!$B$4:$B$53,$H31)="",INDEX(Berechnung!$B$4:$B$53,$H31)=INDEX(Bereiche,1)),""," ("&amp;INDEX(Berechnung!$B$4:$B$53,$H31)&amp;")"),IF($J31&gt;0,INDEX($O$1:$O$27,$J31),""))</f>
        <v/>
      </c>
      <c r="C31" s="53">
        <f>IF($H31&gt;0,INDEX(Berechnung!$E$4:$E$53,$H31),"")</f>
        <v/>
      </c>
      <c r="D31" s="51">
        <f>IF($H31&gt;0,INDEX(Berechnung!$F$4:$F$53,$H31),"")</f>
        <v/>
      </c>
      <c r="E31" s="54">
        <f>IF($H31&gt;0,INDEX(Berechnung!$P$4:$P$53,$H31),"")</f>
        <v/>
      </c>
      <c r="F31" s="54">
        <f>IF($H31&gt;0,INDEX(Berechnung!$O$4:$O$53,$H31),IF($J31&gt;0,INDEX($P$1:$P$27,$J31),""))</f>
        <v/>
      </c>
      <c r="H31" s="43">
        <f>IFERROR(MATCH(8,Berechnung!$A$4:$A$53,0),0)</f>
        <v/>
      </c>
      <c r="I31" s="43">
        <f>8-Berechnung!$E$71</f>
        <v/>
      </c>
      <c r="J31" s="43">
        <f>IF($I31&gt;=1,IFERROR(MATCH($I31,$N$1:$N$27,0),0),0)</f>
        <v/>
      </c>
    </row>
    <row r="32" ht="15" customHeight="1">
      <c r="A32" s="51">
        <f>IF($H32&gt;0,9,"")</f>
        <v/>
      </c>
      <c r="B32" s="52">
        <f>IF($H32&gt;0,INDEX(Berechnung!$D$4:$D$53,$H32)&amp;IF(INDEX(Eingabe!$J$43:$J$92,$H32)="",""," – "&amp;INDEX(Eingabe!$J$43:$J$92,$H32))&amp;IF(OR(INDEX(Berechnung!$B$4:$B$53,$H32)="",INDEX(Berechnung!$B$4:$B$53,$H32)=INDEX(Bereiche,1)),""," ("&amp;INDEX(Berechnung!$B$4:$B$53,$H32)&amp;")"),IF($J32&gt;0,INDEX($O$1:$O$27,$J32),""))</f>
        <v/>
      </c>
      <c r="C32" s="53">
        <f>IF($H32&gt;0,INDEX(Berechnung!$E$4:$E$53,$H32),"")</f>
        <v/>
      </c>
      <c r="D32" s="51">
        <f>IF($H32&gt;0,INDEX(Berechnung!$F$4:$F$53,$H32),"")</f>
        <v/>
      </c>
      <c r="E32" s="54">
        <f>IF($H32&gt;0,INDEX(Berechnung!$P$4:$P$53,$H32),"")</f>
        <v/>
      </c>
      <c r="F32" s="54">
        <f>IF($H32&gt;0,INDEX(Berechnung!$O$4:$O$53,$H32),IF($J32&gt;0,INDEX($P$1:$P$27,$J32),""))</f>
        <v/>
      </c>
      <c r="H32" s="43">
        <f>IFERROR(MATCH(9,Berechnung!$A$4:$A$53,0),0)</f>
        <v/>
      </c>
      <c r="I32" s="43">
        <f>9-Berechnung!$E$71</f>
        <v/>
      </c>
      <c r="J32" s="43">
        <f>IF($I32&gt;=1,IFERROR(MATCH($I32,$N$1:$N$27,0),0),0)</f>
        <v/>
      </c>
    </row>
    <row r="33" ht="15" customHeight="1">
      <c r="A33" s="51">
        <f>IF($H33&gt;0,10,"")</f>
        <v/>
      </c>
      <c r="B33" s="52">
        <f>IF($H33&gt;0,INDEX(Berechnung!$D$4:$D$53,$H33)&amp;IF(INDEX(Eingabe!$J$43:$J$92,$H33)="",""," – "&amp;INDEX(Eingabe!$J$43:$J$92,$H33))&amp;IF(OR(INDEX(Berechnung!$B$4:$B$53,$H33)="",INDEX(Berechnung!$B$4:$B$53,$H33)=INDEX(Bereiche,1)),""," ("&amp;INDEX(Berechnung!$B$4:$B$53,$H33)&amp;")"),IF($J33&gt;0,INDEX($O$1:$O$27,$J33),""))</f>
        <v/>
      </c>
      <c r="C33" s="53">
        <f>IF($H33&gt;0,INDEX(Berechnung!$E$4:$E$53,$H33),"")</f>
        <v/>
      </c>
      <c r="D33" s="51">
        <f>IF($H33&gt;0,INDEX(Berechnung!$F$4:$F$53,$H33),"")</f>
        <v/>
      </c>
      <c r="E33" s="54">
        <f>IF($H33&gt;0,INDEX(Berechnung!$P$4:$P$53,$H33),"")</f>
        <v/>
      </c>
      <c r="F33" s="54">
        <f>IF($H33&gt;0,INDEX(Berechnung!$O$4:$O$53,$H33),IF($J33&gt;0,INDEX($P$1:$P$27,$J33),""))</f>
        <v/>
      </c>
      <c r="H33" s="43">
        <f>IFERROR(MATCH(10,Berechnung!$A$4:$A$53,0),0)</f>
        <v/>
      </c>
      <c r="I33" s="43">
        <f>10-Berechnung!$E$71</f>
        <v/>
      </c>
      <c r="J33" s="43">
        <f>IF($I33&gt;=1,IFERROR(MATCH($I33,$N$1:$N$27,0),0),0)</f>
        <v/>
      </c>
    </row>
    <row r="34" ht="15" customHeight="1">
      <c r="A34" s="51">
        <f>IF($H34&gt;0,11,"")</f>
        <v/>
      </c>
      <c r="B34" s="52">
        <f>IF($H34&gt;0,INDEX(Berechnung!$D$4:$D$53,$H34)&amp;IF(INDEX(Eingabe!$J$43:$J$92,$H34)="",""," – "&amp;INDEX(Eingabe!$J$43:$J$92,$H34))&amp;IF(OR(INDEX(Berechnung!$B$4:$B$53,$H34)="",INDEX(Berechnung!$B$4:$B$53,$H34)=INDEX(Bereiche,1)),""," ("&amp;INDEX(Berechnung!$B$4:$B$53,$H34)&amp;")"),IF($J34&gt;0,INDEX($O$1:$O$27,$J34),""))</f>
        <v/>
      </c>
      <c r="C34" s="53">
        <f>IF($H34&gt;0,INDEX(Berechnung!$E$4:$E$53,$H34),"")</f>
        <v/>
      </c>
      <c r="D34" s="51">
        <f>IF($H34&gt;0,INDEX(Berechnung!$F$4:$F$53,$H34),"")</f>
        <v/>
      </c>
      <c r="E34" s="54">
        <f>IF($H34&gt;0,INDEX(Berechnung!$P$4:$P$53,$H34),"")</f>
        <v/>
      </c>
      <c r="F34" s="54">
        <f>IF($H34&gt;0,INDEX(Berechnung!$O$4:$O$53,$H34),IF($J34&gt;0,INDEX($P$1:$P$27,$J34),""))</f>
        <v/>
      </c>
      <c r="H34" s="43">
        <f>IFERROR(MATCH(11,Berechnung!$A$4:$A$53,0),0)</f>
        <v/>
      </c>
      <c r="I34" s="43">
        <f>11-Berechnung!$E$71</f>
        <v/>
      </c>
      <c r="J34" s="43">
        <f>IF($I34&gt;=1,IFERROR(MATCH($I34,$N$1:$N$27,0),0),0)</f>
        <v/>
      </c>
    </row>
    <row r="35" ht="15" customHeight="1">
      <c r="A35" s="51">
        <f>IF($H35&gt;0,12,"")</f>
        <v/>
      </c>
      <c r="B35" s="52">
        <f>IF($H35&gt;0,INDEX(Berechnung!$D$4:$D$53,$H35)&amp;IF(INDEX(Eingabe!$J$43:$J$92,$H35)="",""," – "&amp;INDEX(Eingabe!$J$43:$J$92,$H35))&amp;IF(OR(INDEX(Berechnung!$B$4:$B$53,$H35)="",INDEX(Berechnung!$B$4:$B$53,$H35)=INDEX(Bereiche,1)),""," ("&amp;INDEX(Berechnung!$B$4:$B$53,$H35)&amp;")"),IF($J35&gt;0,INDEX($O$1:$O$27,$J35),""))</f>
        <v/>
      </c>
      <c r="C35" s="53">
        <f>IF($H35&gt;0,INDEX(Berechnung!$E$4:$E$53,$H35),"")</f>
        <v/>
      </c>
      <c r="D35" s="51">
        <f>IF($H35&gt;0,INDEX(Berechnung!$F$4:$F$53,$H35),"")</f>
        <v/>
      </c>
      <c r="E35" s="54">
        <f>IF($H35&gt;0,INDEX(Berechnung!$P$4:$P$53,$H35),"")</f>
        <v/>
      </c>
      <c r="F35" s="54">
        <f>IF($H35&gt;0,INDEX(Berechnung!$O$4:$O$53,$H35),IF($J35&gt;0,INDEX($P$1:$P$27,$J35),""))</f>
        <v/>
      </c>
      <c r="H35" s="43">
        <f>IFERROR(MATCH(12,Berechnung!$A$4:$A$53,0),0)</f>
        <v/>
      </c>
      <c r="I35" s="43">
        <f>12-Berechnung!$E$71</f>
        <v/>
      </c>
      <c r="J35" s="43">
        <f>IF($I35&gt;=1,IFERROR(MATCH($I35,$N$1:$N$27,0),0),0)</f>
        <v/>
      </c>
    </row>
    <row r="36" ht="15" customHeight="1">
      <c r="A36" s="51">
        <f>IF($H36&gt;0,13,"")</f>
        <v/>
      </c>
      <c r="B36" s="52">
        <f>IF($H36&gt;0,INDEX(Berechnung!$D$4:$D$53,$H36)&amp;IF(INDEX(Eingabe!$J$43:$J$92,$H36)="",""," – "&amp;INDEX(Eingabe!$J$43:$J$92,$H36))&amp;IF(OR(INDEX(Berechnung!$B$4:$B$53,$H36)="",INDEX(Berechnung!$B$4:$B$53,$H36)=INDEX(Bereiche,1)),""," ("&amp;INDEX(Berechnung!$B$4:$B$53,$H36)&amp;")"),IF($J36&gt;0,INDEX($O$1:$O$27,$J36),""))</f>
        <v/>
      </c>
      <c r="C36" s="53">
        <f>IF($H36&gt;0,INDEX(Berechnung!$E$4:$E$53,$H36),"")</f>
        <v/>
      </c>
      <c r="D36" s="51">
        <f>IF($H36&gt;0,INDEX(Berechnung!$F$4:$F$53,$H36),"")</f>
        <v/>
      </c>
      <c r="E36" s="54">
        <f>IF($H36&gt;0,INDEX(Berechnung!$P$4:$P$53,$H36),"")</f>
        <v/>
      </c>
      <c r="F36" s="54">
        <f>IF($H36&gt;0,INDEX(Berechnung!$O$4:$O$53,$H36),IF($J36&gt;0,INDEX($P$1:$P$27,$J36),""))</f>
        <v/>
      </c>
      <c r="H36" s="43">
        <f>IFERROR(MATCH(13,Berechnung!$A$4:$A$53,0),0)</f>
        <v/>
      </c>
      <c r="I36" s="43">
        <f>13-Berechnung!$E$71</f>
        <v/>
      </c>
      <c r="J36" s="43">
        <f>IF($I36&gt;=1,IFERROR(MATCH($I36,$N$1:$N$27,0),0),0)</f>
        <v/>
      </c>
    </row>
    <row r="37" ht="15" customHeight="1">
      <c r="A37" s="51">
        <f>IF($H37&gt;0,14,"")</f>
        <v/>
      </c>
      <c r="B37" s="52">
        <f>IF($H37&gt;0,INDEX(Berechnung!$D$4:$D$53,$H37)&amp;IF(INDEX(Eingabe!$J$43:$J$92,$H37)="",""," – "&amp;INDEX(Eingabe!$J$43:$J$92,$H37))&amp;IF(OR(INDEX(Berechnung!$B$4:$B$53,$H37)="",INDEX(Berechnung!$B$4:$B$53,$H37)=INDEX(Bereiche,1)),""," ("&amp;INDEX(Berechnung!$B$4:$B$53,$H37)&amp;")"),IF($J37&gt;0,INDEX($O$1:$O$27,$J37),""))</f>
        <v/>
      </c>
      <c r="C37" s="53">
        <f>IF($H37&gt;0,INDEX(Berechnung!$E$4:$E$53,$H37),"")</f>
        <v/>
      </c>
      <c r="D37" s="51">
        <f>IF($H37&gt;0,INDEX(Berechnung!$F$4:$F$53,$H37),"")</f>
        <v/>
      </c>
      <c r="E37" s="54">
        <f>IF($H37&gt;0,INDEX(Berechnung!$P$4:$P$53,$H37),"")</f>
        <v/>
      </c>
      <c r="F37" s="54">
        <f>IF($H37&gt;0,INDEX(Berechnung!$O$4:$O$53,$H37),IF($J37&gt;0,INDEX($P$1:$P$27,$J37),""))</f>
        <v/>
      </c>
      <c r="H37" s="43">
        <f>IFERROR(MATCH(14,Berechnung!$A$4:$A$53,0),0)</f>
        <v/>
      </c>
      <c r="I37" s="43">
        <f>14-Berechnung!$E$71</f>
        <v/>
      </c>
      <c r="J37" s="43">
        <f>IF($I37&gt;=1,IFERROR(MATCH($I37,$N$1:$N$27,0),0),0)</f>
        <v/>
      </c>
    </row>
    <row r="38" ht="15" customHeight="1">
      <c r="A38" s="51">
        <f>IF($H38&gt;0,15,"")</f>
        <v/>
      </c>
      <c r="B38" s="52">
        <f>IF($H38&gt;0,INDEX(Berechnung!$D$4:$D$53,$H38)&amp;IF(INDEX(Eingabe!$J$43:$J$92,$H38)="",""," – "&amp;INDEX(Eingabe!$J$43:$J$92,$H38))&amp;IF(OR(INDEX(Berechnung!$B$4:$B$53,$H38)="",INDEX(Berechnung!$B$4:$B$53,$H38)=INDEX(Bereiche,1)),""," ("&amp;INDEX(Berechnung!$B$4:$B$53,$H38)&amp;")"),IF($J38&gt;0,INDEX($O$1:$O$27,$J38),""))</f>
        <v/>
      </c>
      <c r="C38" s="53">
        <f>IF($H38&gt;0,INDEX(Berechnung!$E$4:$E$53,$H38),"")</f>
        <v/>
      </c>
      <c r="D38" s="51">
        <f>IF($H38&gt;0,INDEX(Berechnung!$F$4:$F$53,$H38),"")</f>
        <v/>
      </c>
      <c r="E38" s="54">
        <f>IF($H38&gt;0,INDEX(Berechnung!$P$4:$P$53,$H38),"")</f>
        <v/>
      </c>
      <c r="F38" s="54">
        <f>IF($H38&gt;0,INDEX(Berechnung!$O$4:$O$53,$H38),IF($J38&gt;0,INDEX($P$1:$P$27,$J38),""))</f>
        <v/>
      </c>
      <c r="H38" s="43">
        <f>IFERROR(MATCH(15,Berechnung!$A$4:$A$53,0),0)</f>
        <v/>
      </c>
      <c r="I38" s="43">
        <f>15-Berechnung!$E$71</f>
        <v/>
      </c>
      <c r="J38" s="43">
        <f>IF($I38&gt;=1,IFERROR(MATCH($I38,$N$1:$N$27,0),0),0)</f>
        <v/>
      </c>
    </row>
    <row r="39" ht="15" customHeight="1">
      <c r="A39" s="51">
        <f>IF($H39&gt;0,16,"")</f>
        <v/>
      </c>
      <c r="B39" s="52">
        <f>IF($H39&gt;0,INDEX(Berechnung!$D$4:$D$53,$H39)&amp;IF(INDEX(Eingabe!$J$43:$J$92,$H39)="",""," – "&amp;INDEX(Eingabe!$J$43:$J$92,$H39))&amp;IF(OR(INDEX(Berechnung!$B$4:$B$53,$H39)="",INDEX(Berechnung!$B$4:$B$53,$H39)=INDEX(Bereiche,1)),""," ("&amp;INDEX(Berechnung!$B$4:$B$53,$H39)&amp;")"),IF($J39&gt;0,INDEX($O$1:$O$27,$J39),""))</f>
        <v/>
      </c>
      <c r="C39" s="53">
        <f>IF($H39&gt;0,INDEX(Berechnung!$E$4:$E$53,$H39),"")</f>
        <v/>
      </c>
      <c r="D39" s="51">
        <f>IF($H39&gt;0,INDEX(Berechnung!$F$4:$F$53,$H39),"")</f>
        <v/>
      </c>
      <c r="E39" s="54">
        <f>IF($H39&gt;0,INDEX(Berechnung!$P$4:$P$53,$H39),"")</f>
        <v/>
      </c>
      <c r="F39" s="54">
        <f>IF($H39&gt;0,INDEX(Berechnung!$O$4:$O$53,$H39),IF($J39&gt;0,INDEX($P$1:$P$27,$J39),""))</f>
        <v/>
      </c>
      <c r="H39" s="43">
        <f>IFERROR(MATCH(16,Berechnung!$A$4:$A$53,0),0)</f>
        <v/>
      </c>
      <c r="I39" s="43">
        <f>16-Berechnung!$E$71</f>
        <v/>
      </c>
      <c r="J39" s="43">
        <f>IF($I39&gt;=1,IFERROR(MATCH($I39,$N$1:$N$27,0),0),0)</f>
        <v/>
      </c>
    </row>
    <row r="40" ht="15" customHeight="1">
      <c r="A40" s="51">
        <f>IF($H40&gt;0,17,"")</f>
        <v/>
      </c>
      <c r="B40" s="52">
        <f>IF($H40&gt;0,INDEX(Berechnung!$D$4:$D$53,$H40)&amp;IF(INDEX(Eingabe!$J$43:$J$92,$H40)="",""," – "&amp;INDEX(Eingabe!$J$43:$J$92,$H40))&amp;IF(OR(INDEX(Berechnung!$B$4:$B$53,$H40)="",INDEX(Berechnung!$B$4:$B$53,$H40)=INDEX(Bereiche,1)),""," ("&amp;INDEX(Berechnung!$B$4:$B$53,$H40)&amp;")"),IF($J40&gt;0,INDEX($O$1:$O$27,$J40),""))</f>
        <v/>
      </c>
      <c r="C40" s="53">
        <f>IF($H40&gt;0,INDEX(Berechnung!$E$4:$E$53,$H40),"")</f>
        <v/>
      </c>
      <c r="D40" s="51">
        <f>IF($H40&gt;0,INDEX(Berechnung!$F$4:$F$53,$H40),"")</f>
        <v/>
      </c>
      <c r="E40" s="54">
        <f>IF($H40&gt;0,INDEX(Berechnung!$P$4:$P$53,$H40),"")</f>
        <v/>
      </c>
      <c r="F40" s="54">
        <f>IF($H40&gt;0,INDEX(Berechnung!$O$4:$O$53,$H40),IF($J40&gt;0,INDEX($P$1:$P$27,$J40),""))</f>
        <v/>
      </c>
      <c r="H40" s="43">
        <f>IFERROR(MATCH(17,Berechnung!$A$4:$A$53,0),0)</f>
        <v/>
      </c>
      <c r="I40" s="43">
        <f>17-Berechnung!$E$71</f>
        <v/>
      </c>
      <c r="J40" s="43">
        <f>IF($I40&gt;=1,IFERROR(MATCH($I40,$N$1:$N$27,0),0),0)</f>
        <v/>
      </c>
    </row>
    <row r="41" ht="15" customHeight="1">
      <c r="A41" s="51">
        <f>IF($H41&gt;0,18,"")</f>
        <v/>
      </c>
      <c r="B41" s="52">
        <f>IF($H41&gt;0,INDEX(Berechnung!$D$4:$D$53,$H41)&amp;IF(INDEX(Eingabe!$J$43:$J$92,$H41)="",""," – "&amp;INDEX(Eingabe!$J$43:$J$92,$H41))&amp;IF(OR(INDEX(Berechnung!$B$4:$B$53,$H41)="",INDEX(Berechnung!$B$4:$B$53,$H41)=INDEX(Bereiche,1)),""," ("&amp;INDEX(Berechnung!$B$4:$B$53,$H41)&amp;")"),IF($J41&gt;0,INDEX($O$1:$O$27,$J41),""))</f>
        <v/>
      </c>
      <c r="C41" s="53">
        <f>IF($H41&gt;0,INDEX(Berechnung!$E$4:$E$53,$H41),"")</f>
        <v/>
      </c>
      <c r="D41" s="51">
        <f>IF($H41&gt;0,INDEX(Berechnung!$F$4:$F$53,$H41),"")</f>
        <v/>
      </c>
      <c r="E41" s="54">
        <f>IF($H41&gt;0,INDEX(Berechnung!$P$4:$P$53,$H41),"")</f>
        <v/>
      </c>
      <c r="F41" s="54">
        <f>IF($H41&gt;0,INDEX(Berechnung!$O$4:$O$53,$H41),IF($J41&gt;0,INDEX($P$1:$P$27,$J41),""))</f>
        <v/>
      </c>
      <c r="H41" s="43">
        <f>IFERROR(MATCH(18,Berechnung!$A$4:$A$53,0),0)</f>
        <v/>
      </c>
      <c r="I41" s="43">
        <f>18-Berechnung!$E$71</f>
        <v/>
      </c>
      <c r="J41" s="43">
        <f>IF($I41&gt;=1,IFERROR(MATCH($I41,$N$1:$N$27,0),0),0)</f>
        <v/>
      </c>
    </row>
    <row r="42" ht="15" customHeight="1">
      <c r="A42" s="51">
        <f>IF($H42&gt;0,19,"")</f>
        <v/>
      </c>
      <c r="B42" s="52">
        <f>IF($H42&gt;0,INDEX(Berechnung!$D$4:$D$53,$H42)&amp;IF(INDEX(Eingabe!$J$43:$J$92,$H42)="",""," – "&amp;INDEX(Eingabe!$J$43:$J$92,$H42))&amp;IF(OR(INDEX(Berechnung!$B$4:$B$53,$H42)="",INDEX(Berechnung!$B$4:$B$53,$H42)=INDEX(Bereiche,1)),""," ("&amp;INDEX(Berechnung!$B$4:$B$53,$H42)&amp;")"),IF($J42&gt;0,INDEX($O$1:$O$27,$J42),""))</f>
        <v/>
      </c>
      <c r="C42" s="53">
        <f>IF($H42&gt;0,INDEX(Berechnung!$E$4:$E$53,$H42),"")</f>
        <v/>
      </c>
      <c r="D42" s="51">
        <f>IF($H42&gt;0,INDEX(Berechnung!$F$4:$F$53,$H42),"")</f>
        <v/>
      </c>
      <c r="E42" s="54">
        <f>IF($H42&gt;0,INDEX(Berechnung!$P$4:$P$53,$H42),"")</f>
        <v/>
      </c>
      <c r="F42" s="54">
        <f>IF($H42&gt;0,INDEX(Berechnung!$O$4:$O$53,$H42),IF($J42&gt;0,INDEX($P$1:$P$27,$J42),""))</f>
        <v/>
      </c>
      <c r="H42" s="43">
        <f>IFERROR(MATCH(19,Berechnung!$A$4:$A$53,0),0)</f>
        <v/>
      </c>
      <c r="I42" s="43">
        <f>19-Berechnung!$E$71</f>
        <v/>
      </c>
      <c r="J42" s="43">
        <f>IF($I42&gt;=1,IFERROR(MATCH($I42,$N$1:$N$27,0),0),0)</f>
        <v/>
      </c>
    </row>
    <row r="43" ht="15" customHeight="1">
      <c r="A43" s="51">
        <f>IF($H43&gt;0,20,"")</f>
        <v/>
      </c>
      <c r="B43" s="52">
        <f>IF($H43&gt;0,INDEX(Berechnung!$D$4:$D$53,$H43)&amp;IF(INDEX(Eingabe!$J$43:$J$92,$H43)="",""," – "&amp;INDEX(Eingabe!$J$43:$J$92,$H43))&amp;IF(OR(INDEX(Berechnung!$B$4:$B$53,$H43)="",INDEX(Berechnung!$B$4:$B$53,$H43)=INDEX(Bereiche,1)),""," ("&amp;INDEX(Berechnung!$B$4:$B$53,$H43)&amp;")"),IF($J43&gt;0,INDEX($O$1:$O$27,$J43),""))</f>
        <v/>
      </c>
      <c r="C43" s="53">
        <f>IF($H43&gt;0,INDEX(Berechnung!$E$4:$E$53,$H43),"")</f>
        <v/>
      </c>
      <c r="D43" s="51">
        <f>IF($H43&gt;0,INDEX(Berechnung!$F$4:$F$53,$H43),"")</f>
        <v/>
      </c>
      <c r="E43" s="54">
        <f>IF($H43&gt;0,INDEX(Berechnung!$P$4:$P$53,$H43),"")</f>
        <v/>
      </c>
      <c r="F43" s="54">
        <f>IF($H43&gt;0,INDEX(Berechnung!$O$4:$O$53,$H43),IF($J43&gt;0,INDEX($P$1:$P$27,$J43),""))</f>
        <v/>
      </c>
      <c r="H43" s="43">
        <f>IFERROR(MATCH(20,Berechnung!$A$4:$A$53,0),0)</f>
        <v/>
      </c>
      <c r="I43" s="43">
        <f>20-Berechnung!$E$71</f>
        <v/>
      </c>
      <c r="J43" s="43">
        <f>IF($I43&gt;=1,IFERROR(MATCH($I43,$N$1:$N$27,0),0),0)</f>
        <v/>
      </c>
    </row>
    <row r="44" ht="15" customHeight="1">
      <c r="A44" s="51">
        <f>IF($H44&gt;0,21,"")</f>
        <v/>
      </c>
      <c r="B44" s="52">
        <f>IF($H44&gt;0,INDEX(Berechnung!$D$4:$D$53,$H44)&amp;IF(INDEX(Eingabe!$J$43:$J$92,$H44)="",""," – "&amp;INDEX(Eingabe!$J$43:$J$92,$H44))&amp;IF(OR(INDEX(Berechnung!$B$4:$B$53,$H44)="",INDEX(Berechnung!$B$4:$B$53,$H44)=INDEX(Bereiche,1)),""," ("&amp;INDEX(Berechnung!$B$4:$B$53,$H44)&amp;")"),IF($J44&gt;0,INDEX($O$1:$O$27,$J44),""))</f>
        <v/>
      </c>
      <c r="C44" s="53">
        <f>IF($H44&gt;0,INDEX(Berechnung!$E$4:$E$53,$H44),"")</f>
        <v/>
      </c>
      <c r="D44" s="51">
        <f>IF($H44&gt;0,INDEX(Berechnung!$F$4:$F$53,$H44),"")</f>
        <v/>
      </c>
      <c r="E44" s="54">
        <f>IF($H44&gt;0,INDEX(Berechnung!$P$4:$P$53,$H44),"")</f>
        <v/>
      </c>
      <c r="F44" s="54">
        <f>IF($H44&gt;0,INDEX(Berechnung!$O$4:$O$53,$H44),IF($J44&gt;0,INDEX($P$1:$P$27,$J44),""))</f>
        <v/>
      </c>
      <c r="H44" s="43">
        <f>IFERROR(MATCH(21,Berechnung!$A$4:$A$53,0),0)</f>
        <v/>
      </c>
      <c r="I44" s="43">
        <f>21-Berechnung!$E$71</f>
        <v/>
      </c>
      <c r="J44" s="43">
        <f>IF($I44&gt;=1,IFERROR(MATCH($I44,$N$1:$N$27,0),0),0)</f>
        <v/>
      </c>
    </row>
    <row r="45" ht="15" customHeight="1">
      <c r="A45" s="51">
        <f>IF($H45&gt;0,22,"")</f>
        <v/>
      </c>
      <c r="B45" s="52">
        <f>IF($H45&gt;0,INDEX(Berechnung!$D$4:$D$53,$H45)&amp;IF(INDEX(Eingabe!$J$43:$J$92,$H45)="",""," – "&amp;INDEX(Eingabe!$J$43:$J$92,$H45))&amp;IF(OR(INDEX(Berechnung!$B$4:$B$53,$H45)="",INDEX(Berechnung!$B$4:$B$53,$H45)=INDEX(Bereiche,1)),""," ("&amp;INDEX(Berechnung!$B$4:$B$53,$H45)&amp;")"),IF($J45&gt;0,INDEX($O$1:$O$27,$J45),""))</f>
        <v/>
      </c>
      <c r="C45" s="53">
        <f>IF($H45&gt;0,INDEX(Berechnung!$E$4:$E$53,$H45),"")</f>
        <v/>
      </c>
      <c r="D45" s="51">
        <f>IF($H45&gt;0,INDEX(Berechnung!$F$4:$F$53,$H45),"")</f>
        <v/>
      </c>
      <c r="E45" s="54">
        <f>IF($H45&gt;0,INDEX(Berechnung!$P$4:$P$53,$H45),"")</f>
        <v/>
      </c>
      <c r="F45" s="54">
        <f>IF($H45&gt;0,INDEX(Berechnung!$O$4:$O$53,$H45),IF($J45&gt;0,INDEX($P$1:$P$27,$J45),""))</f>
        <v/>
      </c>
      <c r="H45" s="43">
        <f>IFERROR(MATCH(22,Berechnung!$A$4:$A$53,0),0)</f>
        <v/>
      </c>
      <c r="I45" s="43">
        <f>22-Berechnung!$E$71</f>
        <v/>
      </c>
      <c r="J45" s="43">
        <f>IF($I45&gt;=1,IFERROR(MATCH($I45,$N$1:$N$27,0),0),0)</f>
        <v/>
      </c>
    </row>
    <row r="46" ht="15" customHeight="1">
      <c r="A46" s="51">
        <f>IF($H46&gt;0,23,"")</f>
        <v/>
      </c>
      <c r="B46" s="52">
        <f>IF($H46&gt;0,INDEX(Berechnung!$D$4:$D$53,$H46)&amp;IF(INDEX(Eingabe!$J$43:$J$92,$H46)="",""," – "&amp;INDEX(Eingabe!$J$43:$J$92,$H46))&amp;IF(OR(INDEX(Berechnung!$B$4:$B$53,$H46)="",INDEX(Berechnung!$B$4:$B$53,$H46)=INDEX(Bereiche,1)),""," ("&amp;INDEX(Berechnung!$B$4:$B$53,$H46)&amp;")"),IF($J46&gt;0,INDEX($O$1:$O$27,$J46),""))</f>
        <v/>
      </c>
      <c r="C46" s="53">
        <f>IF($H46&gt;0,INDEX(Berechnung!$E$4:$E$53,$H46),"")</f>
        <v/>
      </c>
      <c r="D46" s="51">
        <f>IF($H46&gt;0,INDEX(Berechnung!$F$4:$F$53,$H46),"")</f>
        <v/>
      </c>
      <c r="E46" s="54">
        <f>IF($H46&gt;0,INDEX(Berechnung!$P$4:$P$53,$H46),"")</f>
        <v/>
      </c>
      <c r="F46" s="54">
        <f>IF($H46&gt;0,INDEX(Berechnung!$O$4:$O$53,$H46),IF($J46&gt;0,INDEX($P$1:$P$27,$J46),""))</f>
        <v/>
      </c>
      <c r="H46" s="43">
        <f>IFERROR(MATCH(23,Berechnung!$A$4:$A$53,0),0)</f>
        <v/>
      </c>
      <c r="I46" s="43">
        <f>23-Berechnung!$E$71</f>
        <v/>
      </c>
      <c r="J46" s="43">
        <f>IF($I46&gt;=1,IFERROR(MATCH($I46,$N$1:$N$27,0),0),0)</f>
        <v/>
      </c>
    </row>
    <row r="47" ht="15" customHeight="1">
      <c r="A47" s="51">
        <f>IF($H47&gt;0,24,"")</f>
        <v/>
      </c>
      <c r="B47" s="52">
        <f>IF($H47&gt;0,INDEX(Berechnung!$D$4:$D$53,$H47)&amp;IF(INDEX(Eingabe!$J$43:$J$92,$H47)="",""," – "&amp;INDEX(Eingabe!$J$43:$J$92,$H47))&amp;IF(OR(INDEX(Berechnung!$B$4:$B$53,$H47)="",INDEX(Berechnung!$B$4:$B$53,$H47)=INDEX(Bereiche,1)),""," ("&amp;INDEX(Berechnung!$B$4:$B$53,$H47)&amp;")"),IF($J47&gt;0,INDEX($O$1:$O$27,$J47),""))</f>
        <v/>
      </c>
      <c r="C47" s="53">
        <f>IF($H47&gt;0,INDEX(Berechnung!$E$4:$E$53,$H47),"")</f>
        <v/>
      </c>
      <c r="D47" s="51">
        <f>IF($H47&gt;0,INDEX(Berechnung!$F$4:$F$53,$H47),"")</f>
        <v/>
      </c>
      <c r="E47" s="54">
        <f>IF($H47&gt;0,INDEX(Berechnung!$P$4:$P$53,$H47),"")</f>
        <v/>
      </c>
      <c r="F47" s="54">
        <f>IF($H47&gt;0,INDEX(Berechnung!$O$4:$O$53,$H47),IF($J47&gt;0,INDEX($P$1:$P$27,$J47),""))</f>
        <v/>
      </c>
      <c r="H47" s="43">
        <f>IFERROR(MATCH(24,Berechnung!$A$4:$A$53,0),0)</f>
        <v/>
      </c>
      <c r="I47" s="43">
        <f>24-Berechnung!$E$71</f>
        <v/>
      </c>
      <c r="J47" s="43">
        <f>IF($I47&gt;=1,IFERROR(MATCH($I47,$N$1:$N$27,0),0),0)</f>
        <v/>
      </c>
    </row>
    <row r="48" ht="15" customHeight="1">
      <c r="A48" s="51">
        <f>IF($H48&gt;0,25,"")</f>
        <v/>
      </c>
      <c r="B48" s="52">
        <f>IF($H48&gt;0,INDEX(Berechnung!$D$4:$D$53,$H48)&amp;IF(INDEX(Eingabe!$J$43:$J$92,$H48)="",""," – "&amp;INDEX(Eingabe!$J$43:$J$92,$H48))&amp;IF(OR(INDEX(Berechnung!$B$4:$B$53,$H48)="",INDEX(Berechnung!$B$4:$B$53,$H48)=INDEX(Bereiche,1)),""," ("&amp;INDEX(Berechnung!$B$4:$B$53,$H48)&amp;")"),IF($J48&gt;0,INDEX($O$1:$O$27,$J48),""))</f>
        <v/>
      </c>
      <c r="C48" s="53">
        <f>IF($H48&gt;0,INDEX(Berechnung!$E$4:$E$53,$H48),"")</f>
        <v/>
      </c>
      <c r="D48" s="51">
        <f>IF($H48&gt;0,INDEX(Berechnung!$F$4:$F$53,$H48),"")</f>
        <v/>
      </c>
      <c r="E48" s="54">
        <f>IF($H48&gt;0,INDEX(Berechnung!$P$4:$P$53,$H48),"")</f>
        <v/>
      </c>
      <c r="F48" s="54">
        <f>IF($H48&gt;0,INDEX(Berechnung!$O$4:$O$53,$H48),IF($J48&gt;0,INDEX($P$1:$P$27,$J48),""))</f>
        <v/>
      </c>
      <c r="H48" s="43">
        <f>IFERROR(MATCH(25,Berechnung!$A$4:$A$53,0),0)</f>
        <v/>
      </c>
      <c r="I48" s="43">
        <f>25-Berechnung!$E$71</f>
        <v/>
      </c>
      <c r="J48" s="43">
        <f>IF($I48&gt;=1,IFERROR(MATCH($I48,$N$1:$N$27,0),0),0)</f>
        <v/>
      </c>
    </row>
    <row r="49" ht="15" customHeight="1">
      <c r="A49" s="51">
        <f>IF($H49&gt;0,26,"")</f>
        <v/>
      </c>
      <c r="B49" s="52">
        <f>IF($H49&gt;0,INDEX(Berechnung!$D$4:$D$53,$H49)&amp;IF(INDEX(Eingabe!$J$43:$J$92,$H49)="",""," – "&amp;INDEX(Eingabe!$J$43:$J$92,$H49))&amp;IF(OR(INDEX(Berechnung!$B$4:$B$53,$H49)="",INDEX(Berechnung!$B$4:$B$53,$H49)=INDEX(Bereiche,1)),""," ("&amp;INDEX(Berechnung!$B$4:$B$53,$H49)&amp;")"),IF($J49&gt;0,INDEX($O$1:$O$27,$J49),""))</f>
        <v/>
      </c>
      <c r="C49" s="53">
        <f>IF($H49&gt;0,INDEX(Berechnung!$E$4:$E$53,$H49),"")</f>
        <v/>
      </c>
      <c r="D49" s="51">
        <f>IF($H49&gt;0,INDEX(Berechnung!$F$4:$F$53,$H49),"")</f>
        <v/>
      </c>
      <c r="E49" s="54">
        <f>IF($H49&gt;0,INDEX(Berechnung!$P$4:$P$53,$H49),"")</f>
        <v/>
      </c>
      <c r="F49" s="54">
        <f>IF($H49&gt;0,INDEX(Berechnung!$O$4:$O$53,$H49),IF($J49&gt;0,INDEX($P$1:$P$27,$J49),""))</f>
        <v/>
      </c>
      <c r="H49" s="43">
        <f>IFERROR(MATCH(26,Berechnung!$A$4:$A$53,0),0)</f>
        <v/>
      </c>
      <c r="I49" s="43">
        <f>26-Berechnung!$E$71</f>
        <v/>
      </c>
      <c r="J49" s="43">
        <f>IF($I49&gt;=1,IFERROR(MATCH($I49,$N$1:$N$27,0),0),0)</f>
        <v/>
      </c>
    </row>
    <row r="50" ht="15" customHeight="1">
      <c r="A50" s="51">
        <f>IF($H50&gt;0,27,"")</f>
        <v/>
      </c>
      <c r="B50" s="52">
        <f>IF($H50&gt;0,INDEX(Berechnung!$D$4:$D$53,$H50)&amp;IF(INDEX(Eingabe!$J$43:$J$92,$H50)="",""," – "&amp;INDEX(Eingabe!$J$43:$J$92,$H50))&amp;IF(OR(INDEX(Berechnung!$B$4:$B$53,$H50)="",INDEX(Berechnung!$B$4:$B$53,$H50)=INDEX(Bereiche,1)),""," ("&amp;INDEX(Berechnung!$B$4:$B$53,$H50)&amp;")"),IF($J50&gt;0,INDEX($O$1:$O$27,$J50),""))</f>
        <v/>
      </c>
      <c r="C50" s="53">
        <f>IF($H50&gt;0,INDEX(Berechnung!$E$4:$E$53,$H50),"")</f>
        <v/>
      </c>
      <c r="D50" s="51">
        <f>IF($H50&gt;0,INDEX(Berechnung!$F$4:$F$53,$H50),"")</f>
        <v/>
      </c>
      <c r="E50" s="54">
        <f>IF($H50&gt;0,INDEX(Berechnung!$P$4:$P$53,$H50),"")</f>
        <v/>
      </c>
      <c r="F50" s="54">
        <f>IF($H50&gt;0,INDEX(Berechnung!$O$4:$O$53,$H50),IF($J50&gt;0,INDEX($P$1:$P$27,$J50),""))</f>
        <v/>
      </c>
      <c r="H50" s="43">
        <f>IFERROR(MATCH(27,Berechnung!$A$4:$A$53,0),0)</f>
        <v/>
      </c>
      <c r="I50" s="43">
        <f>27-Berechnung!$E$71</f>
        <v/>
      </c>
      <c r="J50" s="43">
        <f>IF($I50&gt;=1,IFERROR(MATCH($I50,$N$1:$N$27,0),0),0)</f>
        <v/>
      </c>
    </row>
    <row r="51" ht="15" customHeight="1">
      <c r="A51" s="51">
        <f>IF($H51&gt;0,28,"")</f>
        <v/>
      </c>
      <c r="B51" s="52">
        <f>IF($H51&gt;0,INDEX(Berechnung!$D$4:$D$53,$H51)&amp;IF(INDEX(Eingabe!$J$43:$J$92,$H51)="",""," – "&amp;INDEX(Eingabe!$J$43:$J$92,$H51))&amp;IF(OR(INDEX(Berechnung!$B$4:$B$53,$H51)="",INDEX(Berechnung!$B$4:$B$53,$H51)=INDEX(Bereiche,1)),""," ("&amp;INDEX(Berechnung!$B$4:$B$53,$H51)&amp;")"),IF($J51&gt;0,INDEX($O$1:$O$27,$J51),""))</f>
        <v/>
      </c>
      <c r="C51" s="53">
        <f>IF($H51&gt;0,INDEX(Berechnung!$E$4:$E$53,$H51),"")</f>
        <v/>
      </c>
      <c r="D51" s="51">
        <f>IF($H51&gt;0,INDEX(Berechnung!$F$4:$F$53,$H51),"")</f>
        <v/>
      </c>
      <c r="E51" s="54">
        <f>IF($H51&gt;0,INDEX(Berechnung!$P$4:$P$53,$H51),"")</f>
        <v/>
      </c>
      <c r="F51" s="54">
        <f>IF($H51&gt;0,INDEX(Berechnung!$O$4:$O$53,$H51),IF($J51&gt;0,INDEX($P$1:$P$27,$J51),""))</f>
        <v/>
      </c>
      <c r="H51" s="43">
        <f>IFERROR(MATCH(28,Berechnung!$A$4:$A$53,0),0)</f>
        <v/>
      </c>
      <c r="I51" s="43">
        <f>28-Berechnung!$E$71</f>
        <v/>
      </c>
      <c r="J51" s="43">
        <f>IF($I51&gt;=1,IFERROR(MATCH($I51,$N$1:$N$27,0),0),0)</f>
        <v/>
      </c>
    </row>
    <row r="52" ht="15" customHeight="1">
      <c r="A52" s="51">
        <f>IF($H52&gt;0,29,"")</f>
        <v/>
      </c>
      <c r="B52" s="52">
        <f>IF($H52&gt;0,INDEX(Berechnung!$D$4:$D$53,$H52)&amp;IF(INDEX(Eingabe!$J$43:$J$92,$H52)="",""," – "&amp;INDEX(Eingabe!$J$43:$J$92,$H52))&amp;IF(OR(INDEX(Berechnung!$B$4:$B$53,$H52)="",INDEX(Berechnung!$B$4:$B$53,$H52)=INDEX(Bereiche,1)),""," ("&amp;INDEX(Berechnung!$B$4:$B$53,$H52)&amp;")"),IF($J52&gt;0,INDEX($O$1:$O$27,$J52),""))</f>
        <v/>
      </c>
      <c r="C52" s="53">
        <f>IF($H52&gt;0,INDEX(Berechnung!$E$4:$E$53,$H52),"")</f>
        <v/>
      </c>
      <c r="D52" s="51">
        <f>IF($H52&gt;0,INDEX(Berechnung!$F$4:$F$53,$H52),"")</f>
        <v/>
      </c>
      <c r="E52" s="54">
        <f>IF($H52&gt;0,INDEX(Berechnung!$P$4:$P$53,$H52),"")</f>
        <v/>
      </c>
      <c r="F52" s="54">
        <f>IF($H52&gt;0,INDEX(Berechnung!$O$4:$O$53,$H52),IF($J52&gt;0,INDEX($P$1:$P$27,$J52),""))</f>
        <v/>
      </c>
      <c r="H52" s="43">
        <f>IFERROR(MATCH(29,Berechnung!$A$4:$A$53,0),0)</f>
        <v/>
      </c>
      <c r="I52" s="43">
        <f>29-Berechnung!$E$71</f>
        <v/>
      </c>
      <c r="J52" s="43">
        <f>IF($I52&gt;=1,IFERROR(MATCH($I52,$N$1:$N$27,0),0),0)</f>
        <v/>
      </c>
    </row>
    <row r="53" ht="15" customHeight="1">
      <c r="A53" s="51">
        <f>IF($H53&gt;0,30,"")</f>
        <v/>
      </c>
      <c r="B53" s="52">
        <f>IF($H53&gt;0,INDEX(Berechnung!$D$4:$D$53,$H53)&amp;IF(INDEX(Eingabe!$J$43:$J$92,$H53)="",""," – "&amp;INDEX(Eingabe!$J$43:$J$92,$H53))&amp;IF(OR(INDEX(Berechnung!$B$4:$B$53,$H53)="",INDEX(Berechnung!$B$4:$B$53,$H53)=INDEX(Bereiche,1)),""," ("&amp;INDEX(Berechnung!$B$4:$B$53,$H53)&amp;")"),IF($J53&gt;0,INDEX($O$1:$O$27,$J53),""))</f>
        <v/>
      </c>
      <c r="C53" s="53">
        <f>IF($H53&gt;0,INDEX(Berechnung!$E$4:$E$53,$H53),"")</f>
        <v/>
      </c>
      <c r="D53" s="51">
        <f>IF($H53&gt;0,INDEX(Berechnung!$F$4:$F$53,$H53),"")</f>
        <v/>
      </c>
      <c r="E53" s="54">
        <f>IF($H53&gt;0,INDEX(Berechnung!$P$4:$P$53,$H53),"")</f>
        <v/>
      </c>
      <c r="F53" s="54">
        <f>IF($H53&gt;0,INDEX(Berechnung!$O$4:$O$53,$H53),IF($J53&gt;0,INDEX($P$1:$P$27,$J53),""))</f>
        <v/>
      </c>
      <c r="H53" s="43">
        <f>IFERROR(MATCH(30,Berechnung!$A$4:$A$53,0),0)</f>
        <v/>
      </c>
      <c r="I53" s="43">
        <f>30-Berechnung!$E$71</f>
        <v/>
      </c>
      <c r="J53" s="43">
        <f>IF($I53&gt;=1,IFERROR(MATCH($I53,$N$1:$N$27,0),0),0)</f>
        <v/>
      </c>
    </row>
    <row r="54" ht="15" customHeight="1">
      <c r="A54" s="51">
        <f>IF($H54&gt;0,31,"")</f>
        <v/>
      </c>
      <c r="B54" s="52">
        <f>IF($H54&gt;0,INDEX(Berechnung!$D$4:$D$53,$H54)&amp;IF(INDEX(Eingabe!$J$43:$J$92,$H54)="",""," – "&amp;INDEX(Eingabe!$J$43:$J$92,$H54))&amp;IF(OR(INDEX(Berechnung!$B$4:$B$53,$H54)="",INDEX(Berechnung!$B$4:$B$53,$H54)=INDEX(Bereiche,1)),""," ("&amp;INDEX(Berechnung!$B$4:$B$53,$H54)&amp;")"),IF($J54&gt;0,INDEX($O$1:$O$27,$J54),""))</f>
        <v/>
      </c>
      <c r="C54" s="53">
        <f>IF($H54&gt;0,INDEX(Berechnung!$E$4:$E$53,$H54),"")</f>
        <v/>
      </c>
      <c r="D54" s="51">
        <f>IF($H54&gt;0,INDEX(Berechnung!$F$4:$F$53,$H54),"")</f>
        <v/>
      </c>
      <c r="E54" s="54">
        <f>IF($H54&gt;0,INDEX(Berechnung!$P$4:$P$53,$H54),"")</f>
        <v/>
      </c>
      <c r="F54" s="54">
        <f>IF($H54&gt;0,INDEX(Berechnung!$O$4:$O$53,$H54),IF($J54&gt;0,INDEX($P$1:$P$27,$J54),""))</f>
        <v/>
      </c>
      <c r="H54" s="43">
        <f>IFERROR(MATCH(31,Berechnung!$A$4:$A$53,0),0)</f>
        <v/>
      </c>
      <c r="I54" s="43">
        <f>31-Berechnung!$E$71</f>
        <v/>
      </c>
      <c r="J54" s="43">
        <f>IF($I54&gt;=1,IFERROR(MATCH($I54,$N$1:$N$27,0),0),0)</f>
        <v/>
      </c>
    </row>
    <row r="55" ht="15" customHeight="1">
      <c r="A55" s="51">
        <f>IF($H55&gt;0,32,"")</f>
        <v/>
      </c>
      <c r="B55" s="52">
        <f>IF($H55&gt;0,INDEX(Berechnung!$D$4:$D$53,$H55)&amp;IF(INDEX(Eingabe!$J$43:$J$92,$H55)="",""," – "&amp;INDEX(Eingabe!$J$43:$J$92,$H55))&amp;IF(OR(INDEX(Berechnung!$B$4:$B$53,$H55)="",INDEX(Berechnung!$B$4:$B$53,$H55)=INDEX(Bereiche,1)),""," ("&amp;INDEX(Berechnung!$B$4:$B$53,$H55)&amp;")"),IF($J55&gt;0,INDEX($O$1:$O$27,$J55),""))</f>
        <v/>
      </c>
      <c r="C55" s="53">
        <f>IF($H55&gt;0,INDEX(Berechnung!$E$4:$E$53,$H55),"")</f>
        <v/>
      </c>
      <c r="D55" s="51">
        <f>IF($H55&gt;0,INDEX(Berechnung!$F$4:$F$53,$H55),"")</f>
        <v/>
      </c>
      <c r="E55" s="54">
        <f>IF($H55&gt;0,INDEX(Berechnung!$P$4:$P$53,$H55),"")</f>
        <v/>
      </c>
      <c r="F55" s="54">
        <f>IF($H55&gt;0,INDEX(Berechnung!$O$4:$O$53,$H55),IF($J55&gt;0,INDEX($P$1:$P$27,$J55),""))</f>
        <v/>
      </c>
      <c r="H55" s="43">
        <f>IFERROR(MATCH(32,Berechnung!$A$4:$A$53,0),0)</f>
        <v/>
      </c>
      <c r="I55" s="43">
        <f>32-Berechnung!$E$71</f>
        <v/>
      </c>
      <c r="J55" s="43">
        <f>IF($I55&gt;=1,IFERROR(MATCH($I55,$N$1:$N$27,0),0),0)</f>
        <v/>
      </c>
    </row>
    <row r="56" ht="15" customHeight="1">
      <c r="A56" s="51">
        <f>IF($H56&gt;0,33,"")</f>
        <v/>
      </c>
      <c r="B56" s="52">
        <f>IF($H56&gt;0,INDEX(Berechnung!$D$4:$D$53,$H56)&amp;IF(INDEX(Eingabe!$J$43:$J$92,$H56)="",""," – "&amp;INDEX(Eingabe!$J$43:$J$92,$H56))&amp;IF(OR(INDEX(Berechnung!$B$4:$B$53,$H56)="",INDEX(Berechnung!$B$4:$B$53,$H56)=INDEX(Bereiche,1)),""," ("&amp;INDEX(Berechnung!$B$4:$B$53,$H56)&amp;")"),IF($J56&gt;0,INDEX($O$1:$O$27,$J56),""))</f>
        <v/>
      </c>
      <c r="C56" s="53">
        <f>IF($H56&gt;0,INDEX(Berechnung!$E$4:$E$53,$H56),"")</f>
        <v/>
      </c>
      <c r="D56" s="51">
        <f>IF($H56&gt;0,INDEX(Berechnung!$F$4:$F$53,$H56),"")</f>
        <v/>
      </c>
      <c r="E56" s="54">
        <f>IF($H56&gt;0,INDEX(Berechnung!$P$4:$P$53,$H56),"")</f>
        <v/>
      </c>
      <c r="F56" s="54">
        <f>IF($H56&gt;0,INDEX(Berechnung!$O$4:$O$53,$H56),IF($J56&gt;0,INDEX($P$1:$P$27,$J56),""))</f>
        <v/>
      </c>
      <c r="H56" s="43">
        <f>IFERROR(MATCH(33,Berechnung!$A$4:$A$53,0),0)</f>
        <v/>
      </c>
      <c r="I56" s="43">
        <f>33-Berechnung!$E$71</f>
        <v/>
      </c>
      <c r="J56" s="43">
        <f>IF($I56&gt;=1,IFERROR(MATCH($I56,$N$1:$N$27,0),0),0)</f>
        <v/>
      </c>
    </row>
    <row r="57" ht="15" customHeight="1">
      <c r="A57" s="51">
        <f>IF($H57&gt;0,34,"")</f>
        <v/>
      </c>
      <c r="B57" s="52">
        <f>IF($H57&gt;0,INDEX(Berechnung!$D$4:$D$53,$H57)&amp;IF(INDEX(Eingabe!$J$43:$J$92,$H57)="",""," – "&amp;INDEX(Eingabe!$J$43:$J$92,$H57))&amp;IF(OR(INDEX(Berechnung!$B$4:$B$53,$H57)="",INDEX(Berechnung!$B$4:$B$53,$H57)=INDEX(Bereiche,1)),""," ("&amp;INDEX(Berechnung!$B$4:$B$53,$H57)&amp;")"),IF($J57&gt;0,INDEX($O$1:$O$27,$J57),""))</f>
        <v/>
      </c>
      <c r="C57" s="53">
        <f>IF($H57&gt;0,INDEX(Berechnung!$E$4:$E$53,$H57),"")</f>
        <v/>
      </c>
      <c r="D57" s="51">
        <f>IF($H57&gt;0,INDEX(Berechnung!$F$4:$F$53,$H57),"")</f>
        <v/>
      </c>
      <c r="E57" s="54">
        <f>IF($H57&gt;0,INDEX(Berechnung!$P$4:$P$53,$H57),"")</f>
        <v/>
      </c>
      <c r="F57" s="54">
        <f>IF($H57&gt;0,INDEX(Berechnung!$O$4:$O$53,$H57),IF($J57&gt;0,INDEX($P$1:$P$27,$J57),""))</f>
        <v/>
      </c>
      <c r="H57" s="43">
        <f>IFERROR(MATCH(34,Berechnung!$A$4:$A$53,0),0)</f>
        <v/>
      </c>
      <c r="I57" s="43">
        <f>34-Berechnung!$E$71</f>
        <v/>
      </c>
      <c r="J57" s="43">
        <f>IF($I57&gt;=1,IFERROR(MATCH($I57,$N$1:$N$27,0),0),0)</f>
        <v/>
      </c>
    </row>
    <row r="58" ht="15" customHeight="1">
      <c r="A58" s="51">
        <f>IF($H58&gt;0,35,"")</f>
        <v/>
      </c>
      <c r="B58" s="52">
        <f>IF($H58&gt;0,INDEX(Berechnung!$D$4:$D$53,$H58)&amp;IF(INDEX(Eingabe!$J$43:$J$92,$H58)="",""," – "&amp;INDEX(Eingabe!$J$43:$J$92,$H58))&amp;IF(OR(INDEX(Berechnung!$B$4:$B$53,$H58)="",INDEX(Berechnung!$B$4:$B$53,$H58)=INDEX(Bereiche,1)),""," ("&amp;INDEX(Berechnung!$B$4:$B$53,$H58)&amp;")"),IF($J58&gt;0,INDEX($O$1:$O$27,$J58),""))</f>
        <v/>
      </c>
      <c r="C58" s="53">
        <f>IF($H58&gt;0,INDEX(Berechnung!$E$4:$E$53,$H58),"")</f>
        <v/>
      </c>
      <c r="D58" s="51">
        <f>IF($H58&gt;0,INDEX(Berechnung!$F$4:$F$53,$H58),"")</f>
        <v/>
      </c>
      <c r="E58" s="54">
        <f>IF($H58&gt;0,INDEX(Berechnung!$P$4:$P$53,$H58),"")</f>
        <v/>
      </c>
      <c r="F58" s="54">
        <f>IF($H58&gt;0,INDEX(Berechnung!$O$4:$O$53,$H58),IF($J58&gt;0,INDEX($P$1:$P$27,$J58),""))</f>
        <v/>
      </c>
      <c r="H58" s="43">
        <f>IFERROR(MATCH(35,Berechnung!$A$4:$A$53,0),0)</f>
        <v/>
      </c>
      <c r="I58" s="43">
        <f>35-Berechnung!$E$71</f>
        <v/>
      </c>
      <c r="J58" s="43">
        <f>IF($I58&gt;=1,IFERROR(MATCH($I58,$N$1:$N$27,0),0),0)</f>
        <v/>
      </c>
    </row>
    <row r="59" ht="15" customHeight="1">
      <c r="A59" s="51">
        <f>IF($H59&gt;0,36,"")</f>
        <v/>
      </c>
      <c r="B59" s="52">
        <f>IF($H59&gt;0,INDEX(Berechnung!$D$4:$D$53,$H59)&amp;IF(INDEX(Eingabe!$J$43:$J$92,$H59)="",""," – "&amp;INDEX(Eingabe!$J$43:$J$92,$H59))&amp;IF(OR(INDEX(Berechnung!$B$4:$B$53,$H59)="",INDEX(Berechnung!$B$4:$B$53,$H59)=INDEX(Bereiche,1)),""," ("&amp;INDEX(Berechnung!$B$4:$B$53,$H59)&amp;")"),IF($J59&gt;0,INDEX($O$1:$O$27,$J59),""))</f>
        <v/>
      </c>
      <c r="C59" s="53">
        <f>IF($H59&gt;0,INDEX(Berechnung!$E$4:$E$53,$H59),"")</f>
        <v/>
      </c>
      <c r="D59" s="51">
        <f>IF($H59&gt;0,INDEX(Berechnung!$F$4:$F$53,$H59),"")</f>
        <v/>
      </c>
      <c r="E59" s="54">
        <f>IF($H59&gt;0,INDEX(Berechnung!$P$4:$P$53,$H59),"")</f>
        <v/>
      </c>
      <c r="F59" s="54">
        <f>IF($H59&gt;0,INDEX(Berechnung!$O$4:$O$53,$H59),IF($J59&gt;0,INDEX($P$1:$P$27,$J59),""))</f>
        <v/>
      </c>
      <c r="H59" s="43">
        <f>IFERROR(MATCH(36,Berechnung!$A$4:$A$53,0),0)</f>
        <v/>
      </c>
      <c r="I59" s="43">
        <f>36-Berechnung!$E$71</f>
        <v/>
      </c>
      <c r="J59" s="43">
        <f>IF($I59&gt;=1,IFERROR(MATCH($I59,$N$1:$N$27,0),0),0)</f>
        <v/>
      </c>
    </row>
    <row r="60" ht="15" customHeight="1">
      <c r="A60" s="51">
        <f>IF($H60&gt;0,37,"")</f>
        <v/>
      </c>
      <c r="B60" s="52">
        <f>IF($H60&gt;0,INDEX(Berechnung!$D$4:$D$53,$H60)&amp;IF(INDEX(Eingabe!$J$43:$J$92,$H60)="",""," – "&amp;INDEX(Eingabe!$J$43:$J$92,$H60))&amp;IF(OR(INDEX(Berechnung!$B$4:$B$53,$H60)="",INDEX(Berechnung!$B$4:$B$53,$H60)=INDEX(Bereiche,1)),""," ("&amp;INDEX(Berechnung!$B$4:$B$53,$H60)&amp;")"),IF($J60&gt;0,INDEX($O$1:$O$27,$J60),""))</f>
        <v/>
      </c>
      <c r="C60" s="53">
        <f>IF($H60&gt;0,INDEX(Berechnung!$E$4:$E$53,$H60),"")</f>
        <v/>
      </c>
      <c r="D60" s="51">
        <f>IF($H60&gt;0,INDEX(Berechnung!$F$4:$F$53,$H60),"")</f>
        <v/>
      </c>
      <c r="E60" s="54">
        <f>IF($H60&gt;0,INDEX(Berechnung!$P$4:$P$53,$H60),"")</f>
        <v/>
      </c>
      <c r="F60" s="54">
        <f>IF($H60&gt;0,INDEX(Berechnung!$O$4:$O$53,$H60),IF($J60&gt;0,INDEX($P$1:$P$27,$J60),""))</f>
        <v/>
      </c>
      <c r="H60" s="43">
        <f>IFERROR(MATCH(37,Berechnung!$A$4:$A$53,0),0)</f>
        <v/>
      </c>
      <c r="I60" s="43">
        <f>37-Berechnung!$E$71</f>
        <v/>
      </c>
      <c r="J60" s="43">
        <f>IF($I60&gt;=1,IFERROR(MATCH($I60,$N$1:$N$27,0),0),0)</f>
        <v/>
      </c>
    </row>
    <row r="61" ht="15" customHeight="1">
      <c r="A61" s="51">
        <f>IF($H61&gt;0,38,"")</f>
        <v/>
      </c>
      <c r="B61" s="52">
        <f>IF($H61&gt;0,INDEX(Berechnung!$D$4:$D$53,$H61)&amp;IF(INDEX(Eingabe!$J$43:$J$92,$H61)="",""," – "&amp;INDEX(Eingabe!$J$43:$J$92,$H61))&amp;IF(OR(INDEX(Berechnung!$B$4:$B$53,$H61)="",INDEX(Berechnung!$B$4:$B$53,$H61)=INDEX(Bereiche,1)),""," ("&amp;INDEX(Berechnung!$B$4:$B$53,$H61)&amp;")"),IF($J61&gt;0,INDEX($O$1:$O$27,$J61),""))</f>
        <v/>
      </c>
      <c r="C61" s="53">
        <f>IF($H61&gt;0,INDEX(Berechnung!$E$4:$E$53,$H61),"")</f>
        <v/>
      </c>
      <c r="D61" s="51">
        <f>IF($H61&gt;0,INDEX(Berechnung!$F$4:$F$53,$H61),"")</f>
        <v/>
      </c>
      <c r="E61" s="54">
        <f>IF($H61&gt;0,INDEX(Berechnung!$P$4:$P$53,$H61),"")</f>
        <v/>
      </c>
      <c r="F61" s="54">
        <f>IF($H61&gt;0,INDEX(Berechnung!$O$4:$O$53,$H61),IF($J61&gt;0,INDEX($P$1:$P$27,$J61),""))</f>
        <v/>
      </c>
      <c r="H61" s="43">
        <f>IFERROR(MATCH(38,Berechnung!$A$4:$A$53,0),0)</f>
        <v/>
      </c>
      <c r="I61" s="43">
        <f>38-Berechnung!$E$71</f>
        <v/>
      </c>
      <c r="J61" s="43">
        <f>IF($I61&gt;=1,IFERROR(MATCH($I61,$N$1:$N$27,0),0),0)</f>
        <v/>
      </c>
    </row>
    <row r="62" ht="15" customHeight="1">
      <c r="A62" s="51">
        <f>IF($H62&gt;0,39,"")</f>
        <v/>
      </c>
      <c r="B62" s="52">
        <f>IF($H62&gt;0,INDEX(Berechnung!$D$4:$D$53,$H62)&amp;IF(INDEX(Eingabe!$J$43:$J$92,$H62)="",""," – "&amp;INDEX(Eingabe!$J$43:$J$92,$H62))&amp;IF(OR(INDEX(Berechnung!$B$4:$B$53,$H62)="",INDEX(Berechnung!$B$4:$B$53,$H62)=INDEX(Bereiche,1)),""," ("&amp;INDEX(Berechnung!$B$4:$B$53,$H62)&amp;")"),IF($J62&gt;0,INDEX($O$1:$O$27,$J62),""))</f>
        <v/>
      </c>
      <c r="C62" s="53">
        <f>IF($H62&gt;0,INDEX(Berechnung!$E$4:$E$53,$H62),"")</f>
        <v/>
      </c>
      <c r="D62" s="51">
        <f>IF($H62&gt;0,INDEX(Berechnung!$F$4:$F$53,$H62),"")</f>
        <v/>
      </c>
      <c r="E62" s="54">
        <f>IF($H62&gt;0,INDEX(Berechnung!$P$4:$P$53,$H62),"")</f>
        <v/>
      </c>
      <c r="F62" s="54">
        <f>IF($H62&gt;0,INDEX(Berechnung!$O$4:$O$53,$H62),IF($J62&gt;0,INDEX($P$1:$P$27,$J62),""))</f>
        <v/>
      </c>
      <c r="H62" s="43">
        <f>IFERROR(MATCH(39,Berechnung!$A$4:$A$53,0),0)</f>
        <v/>
      </c>
      <c r="I62" s="43">
        <f>39-Berechnung!$E$71</f>
        <v/>
      </c>
      <c r="J62" s="43">
        <f>IF($I62&gt;=1,IFERROR(MATCH($I62,$N$1:$N$27,0),0),0)</f>
        <v/>
      </c>
    </row>
    <row r="63" ht="15" customHeight="1">
      <c r="A63" s="51">
        <f>IF($H63&gt;0,40,"")</f>
        <v/>
      </c>
      <c r="B63" s="52">
        <f>IF($H63&gt;0,INDEX(Berechnung!$D$4:$D$53,$H63)&amp;IF(INDEX(Eingabe!$J$43:$J$92,$H63)="",""," – "&amp;INDEX(Eingabe!$J$43:$J$92,$H63))&amp;IF(OR(INDEX(Berechnung!$B$4:$B$53,$H63)="",INDEX(Berechnung!$B$4:$B$53,$H63)=INDEX(Bereiche,1)),""," ("&amp;INDEX(Berechnung!$B$4:$B$53,$H63)&amp;")"),IF($J63&gt;0,INDEX($O$1:$O$27,$J63),""))</f>
        <v/>
      </c>
      <c r="C63" s="53">
        <f>IF($H63&gt;0,INDEX(Berechnung!$E$4:$E$53,$H63),"")</f>
        <v/>
      </c>
      <c r="D63" s="51">
        <f>IF($H63&gt;0,INDEX(Berechnung!$F$4:$F$53,$H63),"")</f>
        <v/>
      </c>
      <c r="E63" s="54">
        <f>IF($H63&gt;0,INDEX(Berechnung!$P$4:$P$53,$H63),"")</f>
        <v/>
      </c>
      <c r="F63" s="54">
        <f>IF($H63&gt;0,INDEX(Berechnung!$O$4:$O$53,$H63),IF($J63&gt;0,INDEX($P$1:$P$27,$J63),""))</f>
        <v/>
      </c>
      <c r="H63" s="43">
        <f>IFERROR(MATCH(40,Berechnung!$A$4:$A$53,0),0)</f>
        <v/>
      </c>
      <c r="I63" s="43">
        <f>40-Berechnung!$E$71</f>
        <v/>
      </c>
      <c r="J63" s="43">
        <f>IF($I63&gt;=1,IFERROR(MATCH($I63,$N$1:$N$27,0),0),0)</f>
        <v/>
      </c>
    </row>
    <row r="64" ht="15" customHeight="1">
      <c r="A64" s="51">
        <f>IF($H64&gt;0,41,"")</f>
        <v/>
      </c>
      <c r="B64" s="52">
        <f>IF($H64&gt;0,INDEX(Berechnung!$D$4:$D$53,$H64)&amp;IF(INDEX(Eingabe!$J$43:$J$92,$H64)="",""," – "&amp;INDEX(Eingabe!$J$43:$J$92,$H64))&amp;IF(OR(INDEX(Berechnung!$B$4:$B$53,$H64)="",INDEX(Berechnung!$B$4:$B$53,$H64)=INDEX(Bereiche,1)),""," ("&amp;INDEX(Berechnung!$B$4:$B$53,$H64)&amp;")"),IF($J64&gt;0,INDEX($O$1:$O$27,$J64),""))</f>
        <v/>
      </c>
      <c r="C64" s="53">
        <f>IF($H64&gt;0,INDEX(Berechnung!$E$4:$E$53,$H64),"")</f>
        <v/>
      </c>
      <c r="D64" s="51">
        <f>IF($H64&gt;0,INDEX(Berechnung!$F$4:$F$53,$H64),"")</f>
        <v/>
      </c>
      <c r="E64" s="54">
        <f>IF($H64&gt;0,INDEX(Berechnung!$P$4:$P$53,$H64),"")</f>
        <v/>
      </c>
      <c r="F64" s="54">
        <f>IF($H64&gt;0,INDEX(Berechnung!$O$4:$O$53,$H64),IF($J64&gt;0,INDEX($P$1:$P$27,$J64),""))</f>
        <v/>
      </c>
      <c r="H64" s="43">
        <f>IFERROR(MATCH(41,Berechnung!$A$4:$A$53,0),0)</f>
        <v/>
      </c>
      <c r="I64" s="43">
        <f>41-Berechnung!$E$71</f>
        <v/>
      </c>
      <c r="J64" s="43">
        <f>IF($I64&gt;=1,IFERROR(MATCH($I64,$N$1:$N$27,0),0),0)</f>
        <v/>
      </c>
    </row>
    <row r="65" ht="15" customHeight="1">
      <c r="A65" s="51">
        <f>IF($H65&gt;0,42,"")</f>
        <v/>
      </c>
      <c r="B65" s="52">
        <f>IF($H65&gt;0,INDEX(Berechnung!$D$4:$D$53,$H65)&amp;IF(INDEX(Eingabe!$J$43:$J$92,$H65)="",""," – "&amp;INDEX(Eingabe!$J$43:$J$92,$H65))&amp;IF(OR(INDEX(Berechnung!$B$4:$B$53,$H65)="",INDEX(Berechnung!$B$4:$B$53,$H65)=INDEX(Bereiche,1)),""," ("&amp;INDEX(Berechnung!$B$4:$B$53,$H65)&amp;")"),IF($J65&gt;0,INDEX($O$1:$O$27,$J65),""))</f>
        <v/>
      </c>
      <c r="C65" s="53">
        <f>IF($H65&gt;0,INDEX(Berechnung!$E$4:$E$53,$H65),"")</f>
        <v/>
      </c>
      <c r="D65" s="51">
        <f>IF($H65&gt;0,INDEX(Berechnung!$F$4:$F$53,$H65),"")</f>
        <v/>
      </c>
      <c r="E65" s="54">
        <f>IF($H65&gt;0,INDEX(Berechnung!$P$4:$P$53,$H65),"")</f>
        <v/>
      </c>
      <c r="F65" s="54">
        <f>IF($H65&gt;0,INDEX(Berechnung!$O$4:$O$53,$H65),IF($J65&gt;0,INDEX($P$1:$P$27,$J65),""))</f>
        <v/>
      </c>
      <c r="H65" s="43">
        <f>IFERROR(MATCH(42,Berechnung!$A$4:$A$53,0),0)</f>
        <v/>
      </c>
      <c r="I65" s="43">
        <f>42-Berechnung!$E$71</f>
        <v/>
      </c>
      <c r="J65" s="43">
        <f>IF($I65&gt;=1,IFERROR(MATCH($I65,$N$1:$N$27,0),0),0)</f>
        <v/>
      </c>
    </row>
    <row r="66" ht="15" customHeight="1">
      <c r="A66" s="51">
        <f>IF($H66&gt;0,43,"")</f>
        <v/>
      </c>
      <c r="B66" s="52">
        <f>IF($H66&gt;0,INDEX(Berechnung!$D$4:$D$53,$H66)&amp;IF(INDEX(Eingabe!$J$43:$J$92,$H66)="",""," – "&amp;INDEX(Eingabe!$J$43:$J$92,$H66))&amp;IF(OR(INDEX(Berechnung!$B$4:$B$53,$H66)="",INDEX(Berechnung!$B$4:$B$53,$H66)=INDEX(Bereiche,1)),""," ("&amp;INDEX(Berechnung!$B$4:$B$53,$H66)&amp;")"),IF($J66&gt;0,INDEX($O$1:$O$27,$J66),""))</f>
        <v/>
      </c>
      <c r="C66" s="53">
        <f>IF($H66&gt;0,INDEX(Berechnung!$E$4:$E$53,$H66),"")</f>
        <v/>
      </c>
      <c r="D66" s="51">
        <f>IF($H66&gt;0,INDEX(Berechnung!$F$4:$F$53,$H66),"")</f>
        <v/>
      </c>
      <c r="E66" s="54">
        <f>IF($H66&gt;0,INDEX(Berechnung!$P$4:$P$53,$H66),"")</f>
        <v/>
      </c>
      <c r="F66" s="54">
        <f>IF($H66&gt;0,INDEX(Berechnung!$O$4:$O$53,$H66),IF($J66&gt;0,INDEX($P$1:$P$27,$J66),""))</f>
        <v/>
      </c>
      <c r="H66" s="43">
        <f>IFERROR(MATCH(43,Berechnung!$A$4:$A$53,0),0)</f>
        <v/>
      </c>
      <c r="I66" s="43">
        <f>43-Berechnung!$E$71</f>
        <v/>
      </c>
      <c r="J66" s="43">
        <f>IF($I66&gt;=1,IFERROR(MATCH($I66,$N$1:$N$27,0),0),0)</f>
        <v/>
      </c>
    </row>
    <row r="67" ht="15" customHeight="1">
      <c r="A67" s="51">
        <f>IF($H67&gt;0,44,"")</f>
        <v/>
      </c>
      <c r="B67" s="52">
        <f>IF($H67&gt;0,INDEX(Berechnung!$D$4:$D$53,$H67)&amp;IF(INDEX(Eingabe!$J$43:$J$92,$H67)="",""," – "&amp;INDEX(Eingabe!$J$43:$J$92,$H67))&amp;IF(OR(INDEX(Berechnung!$B$4:$B$53,$H67)="",INDEX(Berechnung!$B$4:$B$53,$H67)=INDEX(Bereiche,1)),""," ("&amp;INDEX(Berechnung!$B$4:$B$53,$H67)&amp;")"),IF($J67&gt;0,INDEX($O$1:$O$27,$J67),""))</f>
        <v/>
      </c>
      <c r="C67" s="53">
        <f>IF($H67&gt;0,INDEX(Berechnung!$E$4:$E$53,$H67),"")</f>
        <v/>
      </c>
      <c r="D67" s="51">
        <f>IF($H67&gt;0,INDEX(Berechnung!$F$4:$F$53,$H67),"")</f>
        <v/>
      </c>
      <c r="E67" s="54">
        <f>IF($H67&gt;0,INDEX(Berechnung!$P$4:$P$53,$H67),"")</f>
        <v/>
      </c>
      <c r="F67" s="54">
        <f>IF($H67&gt;0,INDEX(Berechnung!$O$4:$O$53,$H67),IF($J67&gt;0,INDEX($P$1:$P$27,$J67),""))</f>
        <v/>
      </c>
      <c r="H67" s="43">
        <f>IFERROR(MATCH(44,Berechnung!$A$4:$A$53,0),0)</f>
        <v/>
      </c>
      <c r="I67" s="43">
        <f>44-Berechnung!$E$71</f>
        <v/>
      </c>
      <c r="J67" s="43">
        <f>IF($I67&gt;=1,IFERROR(MATCH($I67,$N$1:$N$27,0),0),0)</f>
        <v/>
      </c>
    </row>
    <row r="68" ht="15" customHeight="1">
      <c r="A68" s="51">
        <f>IF($H68&gt;0,45,"")</f>
        <v/>
      </c>
      <c r="B68" s="52">
        <f>IF($H68&gt;0,INDEX(Berechnung!$D$4:$D$53,$H68)&amp;IF(INDEX(Eingabe!$J$43:$J$92,$H68)="",""," – "&amp;INDEX(Eingabe!$J$43:$J$92,$H68))&amp;IF(OR(INDEX(Berechnung!$B$4:$B$53,$H68)="",INDEX(Berechnung!$B$4:$B$53,$H68)=INDEX(Bereiche,1)),""," ("&amp;INDEX(Berechnung!$B$4:$B$53,$H68)&amp;")"),IF($J68&gt;0,INDEX($O$1:$O$27,$J68),""))</f>
        <v/>
      </c>
      <c r="C68" s="53">
        <f>IF($H68&gt;0,INDEX(Berechnung!$E$4:$E$53,$H68),"")</f>
        <v/>
      </c>
      <c r="D68" s="51">
        <f>IF($H68&gt;0,INDEX(Berechnung!$F$4:$F$53,$H68),"")</f>
        <v/>
      </c>
      <c r="E68" s="54">
        <f>IF($H68&gt;0,INDEX(Berechnung!$P$4:$P$53,$H68),"")</f>
        <v/>
      </c>
      <c r="F68" s="54">
        <f>IF($H68&gt;0,INDEX(Berechnung!$O$4:$O$53,$H68),IF($J68&gt;0,INDEX($P$1:$P$27,$J68),""))</f>
        <v/>
      </c>
      <c r="H68" s="43">
        <f>IFERROR(MATCH(45,Berechnung!$A$4:$A$53,0),0)</f>
        <v/>
      </c>
      <c r="I68" s="43">
        <f>45-Berechnung!$E$71</f>
        <v/>
      </c>
      <c r="J68" s="43">
        <f>IF($I68&gt;=1,IFERROR(MATCH($I68,$N$1:$N$27,0),0),0)</f>
        <v/>
      </c>
    </row>
    <row r="69" ht="15" customHeight="1">
      <c r="A69" s="51">
        <f>IF($H69&gt;0,46,"")</f>
        <v/>
      </c>
      <c r="B69" s="52">
        <f>IF($H69&gt;0,INDEX(Berechnung!$D$4:$D$53,$H69)&amp;IF(INDEX(Eingabe!$J$43:$J$92,$H69)="",""," – "&amp;INDEX(Eingabe!$J$43:$J$92,$H69))&amp;IF(OR(INDEX(Berechnung!$B$4:$B$53,$H69)="",INDEX(Berechnung!$B$4:$B$53,$H69)=INDEX(Bereiche,1)),""," ("&amp;INDEX(Berechnung!$B$4:$B$53,$H69)&amp;")"),IF($J69&gt;0,INDEX($O$1:$O$27,$J69),""))</f>
        <v/>
      </c>
      <c r="C69" s="53">
        <f>IF($H69&gt;0,INDEX(Berechnung!$E$4:$E$53,$H69),"")</f>
        <v/>
      </c>
      <c r="D69" s="51">
        <f>IF($H69&gt;0,INDEX(Berechnung!$F$4:$F$53,$H69),"")</f>
        <v/>
      </c>
      <c r="E69" s="54">
        <f>IF($H69&gt;0,INDEX(Berechnung!$P$4:$P$53,$H69),"")</f>
        <v/>
      </c>
      <c r="F69" s="54">
        <f>IF($H69&gt;0,INDEX(Berechnung!$O$4:$O$53,$H69),IF($J69&gt;0,INDEX($P$1:$P$27,$J69),""))</f>
        <v/>
      </c>
      <c r="H69" s="43">
        <f>IFERROR(MATCH(46,Berechnung!$A$4:$A$53,0),0)</f>
        <v/>
      </c>
      <c r="I69" s="43">
        <f>46-Berechnung!$E$71</f>
        <v/>
      </c>
      <c r="J69" s="43">
        <f>IF($I69&gt;=1,IFERROR(MATCH($I69,$N$1:$N$27,0),0),0)</f>
        <v/>
      </c>
    </row>
    <row r="70" ht="15" customHeight="1">
      <c r="A70" s="51">
        <f>IF($H70&gt;0,47,"")</f>
        <v/>
      </c>
      <c r="B70" s="52">
        <f>IF($H70&gt;0,INDEX(Berechnung!$D$4:$D$53,$H70)&amp;IF(INDEX(Eingabe!$J$43:$J$92,$H70)="",""," – "&amp;INDEX(Eingabe!$J$43:$J$92,$H70))&amp;IF(OR(INDEX(Berechnung!$B$4:$B$53,$H70)="",INDEX(Berechnung!$B$4:$B$53,$H70)=INDEX(Bereiche,1)),""," ("&amp;INDEX(Berechnung!$B$4:$B$53,$H70)&amp;")"),IF($J70&gt;0,INDEX($O$1:$O$27,$J70),""))</f>
        <v/>
      </c>
      <c r="C70" s="53">
        <f>IF($H70&gt;0,INDEX(Berechnung!$E$4:$E$53,$H70),"")</f>
        <v/>
      </c>
      <c r="D70" s="51">
        <f>IF($H70&gt;0,INDEX(Berechnung!$F$4:$F$53,$H70),"")</f>
        <v/>
      </c>
      <c r="E70" s="54">
        <f>IF($H70&gt;0,INDEX(Berechnung!$P$4:$P$53,$H70),"")</f>
        <v/>
      </c>
      <c r="F70" s="54">
        <f>IF($H70&gt;0,INDEX(Berechnung!$O$4:$O$53,$H70),IF($J70&gt;0,INDEX($P$1:$P$27,$J70),""))</f>
        <v/>
      </c>
      <c r="H70" s="43">
        <f>IFERROR(MATCH(47,Berechnung!$A$4:$A$53,0),0)</f>
        <v/>
      </c>
      <c r="I70" s="43">
        <f>47-Berechnung!$E$71</f>
        <v/>
      </c>
      <c r="J70" s="43">
        <f>IF($I70&gt;=1,IFERROR(MATCH($I70,$N$1:$N$27,0),0),0)</f>
        <v/>
      </c>
    </row>
    <row r="71" ht="15" customHeight="1">
      <c r="A71" s="51">
        <f>IF($H71&gt;0,48,"")</f>
        <v/>
      </c>
      <c r="B71" s="52">
        <f>IF($H71&gt;0,INDEX(Berechnung!$D$4:$D$53,$H71)&amp;IF(INDEX(Eingabe!$J$43:$J$92,$H71)="",""," – "&amp;INDEX(Eingabe!$J$43:$J$92,$H71))&amp;IF(OR(INDEX(Berechnung!$B$4:$B$53,$H71)="",INDEX(Berechnung!$B$4:$B$53,$H71)=INDEX(Bereiche,1)),""," ("&amp;INDEX(Berechnung!$B$4:$B$53,$H71)&amp;")"),IF($J71&gt;0,INDEX($O$1:$O$27,$J71),""))</f>
        <v/>
      </c>
      <c r="C71" s="53">
        <f>IF($H71&gt;0,INDEX(Berechnung!$E$4:$E$53,$H71),"")</f>
        <v/>
      </c>
      <c r="D71" s="51">
        <f>IF($H71&gt;0,INDEX(Berechnung!$F$4:$F$53,$H71),"")</f>
        <v/>
      </c>
      <c r="E71" s="54">
        <f>IF($H71&gt;0,INDEX(Berechnung!$P$4:$P$53,$H71),"")</f>
        <v/>
      </c>
      <c r="F71" s="54">
        <f>IF($H71&gt;0,INDEX(Berechnung!$O$4:$O$53,$H71),IF($J71&gt;0,INDEX($P$1:$P$27,$J71),""))</f>
        <v/>
      </c>
      <c r="H71" s="43">
        <f>IFERROR(MATCH(48,Berechnung!$A$4:$A$53,0),0)</f>
        <v/>
      </c>
      <c r="I71" s="43">
        <f>48-Berechnung!$E$71</f>
        <v/>
      </c>
      <c r="J71" s="43">
        <f>IF($I71&gt;=1,IFERROR(MATCH($I71,$N$1:$N$27,0),0),0)</f>
        <v/>
      </c>
    </row>
    <row r="72" ht="15" customHeight="1">
      <c r="A72" s="51">
        <f>IF($H72&gt;0,49,"")</f>
        <v/>
      </c>
      <c r="B72" s="52">
        <f>IF($H72&gt;0,INDEX(Berechnung!$D$4:$D$53,$H72)&amp;IF(INDEX(Eingabe!$J$43:$J$92,$H72)="",""," – "&amp;INDEX(Eingabe!$J$43:$J$92,$H72))&amp;IF(OR(INDEX(Berechnung!$B$4:$B$53,$H72)="",INDEX(Berechnung!$B$4:$B$53,$H72)=INDEX(Bereiche,1)),""," ("&amp;INDEX(Berechnung!$B$4:$B$53,$H72)&amp;")"),IF($J72&gt;0,INDEX($O$1:$O$27,$J72),""))</f>
        <v/>
      </c>
      <c r="C72" s="53">
        <f>IF($H72&gt;0,INDEX(Berechnung!$E$4:$E$53,$H72),"")</f>
        <v/>
      </c>
      <c r="D72" s="51">
        <f>IF($H72&gt;0,INDEX(Berechnung!$F$4:$F$53,$H72),"")</f>
        <v/>
      </c>
      <c r="E72" s="54">
        <f>IF($H72&gt;0,INDEX(Berechnung!$P$4:$P$53,$H72),"")</f>
        <v/>
      </c>
      <c r="F72" s="54">
        <f>IF($H72&gt;0,INDEX(Berechnung!$O$4:$O$53,$H72),IF($J72&gt;0,INDEX($P$1:$P$27,$J72),""))</f>
        <v/>
      </c>
      <c r="H72" s="43">
        <f>IFERROR(MATCH(49,Berechnung!$A$4:$A$53,0),0)</f>
        <v/>
      </c>
      <c r="I72" s="43">
        <f>49-Berechnung!$E$71</f>
        <v/>
      </c>
      <c r="J72" s="43">
        <f>IF($I72&gt;=1,IFERROR(MATCH($I72,$N$1:$N$27,0),0),0)</f>
        <v/>
      </c>
    </row>
    <row r="73" ht="15" customHeight="1">
      <c r="A73" s="51">
        <f>IF($H73&gt;0,50,"")</f>
        <v/>
      </c>
      <c r="B73" s="52">
        <f>IF($H73&gt;0,INDEX(Berechnung!$D$4:$D$53,$H73)&amp;IF(INDEX(Eingabe!$J$43:$J$92,$H73)="",""," – "&amp;INDEX(Eingabe!$J$43:$J$92,$H73))&amp;IF(OR(INDEX(Berechnung!$B$4:$B$53,$H73)="",INDEX(Berechnung!$B$4:$B$53,$H73)=INDEX(Bereiche,1)),""," ("&amp;INDEX(Berechnung!$B$4:$B$53,$H73)&amp;")"),IF($J73&gt;0,INDEX($O$1:$O$27,$J73),""))</f>
        <v/>
      </c>
      <c r="C73" s="53">
        <f>IF($H73&gt;0,INDEX(Berechnung!$E$4:$E$53,$H73),"")</f>
        <v/>
      </c>
      <c r="D73" s="51">
        <f>IF($H73&gt;0,INDEX(Berechnung!$F$4:$F$53,$H73),"")</f>
        <v/>
      </c>
      <c r="E73" s="54">
        <f>IF($H73&gt;0,INDEX(Berechnung!$P$4:$P$53,$H73),"")</f>
        <v/>
      </c>
      <c r="F73" s="54">
        <f>IF($H73&gt;0,INDEX(Berechnung!$O$4:$O$53,$H73),IF($J73&gt;0,INDEX($P$1:$P$27,$J73),""))</f>
        <v/>
      </c>
      <c r="H73" s="43">
        <f>IFERROR(MATCH(50,Berechnung!$A$4:$A$53,0),0)</f>
        <v/>
      </c>
      <c r="I73" s="43">
        <f>50-Berechnung!$E$71</f>
        <v/>
      </c>
      <c r="J73" s="43">
        <f>IF($I73&gt;=1,IFERROR(MATCH($I73,$N$1:$N$27,0),0),0)</f>
        <v/>
      </c>
    </row>
    <row r="74" ht="15" customHeight="1">
      <c r="A74" s="51">
        <f>IF($H74&gt;0,51,"")</f>
        <v/>
      </c>
      <c r="B74" s="52">
        <f>IF($H74&gt;0,INDEX(Berechnung!$D$4:$D$53,$H74)&amp;IF(INDEX(Eingabe!$J$43:$J$92,$H74)="",""," – "&amp;INDEX(Eingabe!$J$43:$J$92,$H74))&amp;IF(OR(INDEX(Berechnung!$B$4:$B$53,$H74)="",INDEX(Berechnung!$B$4:$B$53,$H74)=INDEX(Bereiche,1)),""," ("&amp;INDEX(Berechnung!$B$4:$B$53,$H74)&amp;")"),IF($J74&gt;0,INDEX($O$1:$O$27,$J74),""))</f>
        <v/>
      </c>
      <c r="C74" s="53">
        <f>IF($H74&gt;0,INDEX(Berechnung!$E$4:$E$53,$H74),"")</f>
        <v/>
      </c>
      <c r="D74" s="51">
        <f>IF($H74&gt;0,INDEX(Berechnung!$F$4:$F$53,$H74),"")</f>
        <v/>
      </c>
      <c r="E74" s="54">
        <f>IF($H74&gt;0,INDEX(Berechnung!$P$4:$P$53,$H74),"")</f>
        <v/>
      </c>
      <c r="F74" s="54">
        <f>IF($H74&gt;0,INDEX(Berechnung!$O$4:$O$53,$H74),IF($J74&gt;0,INDEX($P$1:$P$27,$J74),""))</f>
        <v/>
      </c>
      <c r="H74" s="43">
        <f>IFERROR(MATCH(51,Berechnung!$A$4:$A$53,0),0)</f>
        <v/>
      </c>
      <c r="I74" s="43">
        <f>51-Berechnung!$E$71</f>
        <v/>
      </c>
      <c r="J74" s="43">
        <f>IF($I74&gt;=1,IFERROR(MATCH($I74,$N$1:$N$27,0),0),0)</f>
        <v/>
      </c>
    </row>
    <row r="75" ht="15" customHeight="1">
      <c r="A75" s="51">
        <f>IF($H75&gt;0,52,"")</f>
        <v/>
      </c>
      <c r="B75" s="52">
        <f>IF($H75&gt;0,INDEX(Berechnung!$D$4:$D$53,$H75)&amp;IF(INDEX(Eingabe!$J$43:$J$92,$H75)="",""," – "&amp;INDEX(Eingabe!$J$43:$J$92,$H75))&amp;IF(OR(INDEX(Berechnung!$B$4:$B$53,$H75)="",INDEX(Berechnung!$B$4:$B$53,$H75)=INDEX(Bereiche,1)),""," ("&amp;INDEX(Berechnung!$B$4:$B$53,$H75)&amp;")"),IF($J75&gt;0,INDEX($O$1:$O$27,$J75),""))</f>
        <v/>
      </c>
      <c r="C75" s="53">
        <f>IF($H75&gt;0,INDEX(Berechnung!$E$4:$E$53,$H75),"")</f>
        <v/>
      </c>
      <c r="D75" s="51">
        <f>IF($H75&gt;0,INDEX(Berechnung!$F$4:$F$53,$H75),"")</f>
        <v/>
      </c>
      <c r="E75" s="54">
        <f>IF($H75&gt;0,INDEX(Berechnung!$P$4:$P$53,$H75),"")</f>
        <v/>
      </c>
      <c r="F75" s="54">
        <f>IF($H75&gt;0,INDEX(Berechnung!$O$4:$O$53,$H75),IF($J75&gt;0,INDEX($P$1:$P$27,$J75),""))</f>
        <v/>
      </c>
      <c r="H75" s="43">
        <f>IFERROR(MATCH(52,Berechnung!$A$4:$A$53,0),0)</f>
        <v/>
      </c>
      <c r="I75" s="43">
        <f>52-Berechnung!$E$71</f>
        <v/>
      </c>
      <c r="J75" s="43">
        <f>IF($I75&gt;=1,IFERROR(MATCH($I75,$N$1:$N$27,0),0),0)</f>
        <v/>
      </c>
    </row>
    <row r="76" ht="15" customHeight="1">
      <c r="A76" s="51">
        <f>IF($H76&gt;0,53,"")</f>
        <v/>
      </c>
      <c r="B76" s="52">
        <f>IF($H76&gt;0,INDEX(Berechnung!$D$4:$D$53,$H76)&amp;IF(INDEX(Eingabe!$J$43:$J$92,$H76)="",""," – "&amp;INDEX(Eingabe!$J$43:$J$92,$H76))&amp;IF(OR(INDEX(Berechnung!$B$4:$B$53,$H76)="",INDEX(Berechnung!$B$4:$B$53,$H76)=INDEX(Bereiche,1)),""," ("&amp;INDEX(Berechnung!$B$4:$B$53,$H76)&amp;")"),IF($J76&gt;0,INDEX($O$1:$O$27,$J76),""))</f>
        <v/>
      </c>
      <c r="C76" s="53">
        <f>IF($H76&gt;0,INDEX(Berechnung!$E$4:$E$53,$H76),"")</f>
        <v/>
      </c>
      <c r="D76" s="51">
        <f>IF($H76&gt;0,INDEX(Berechnung!$F$4:$F$53,$H76),"")</f>
        <v/>
      </c>
      <c r="E76" s="54">
        <f>IF($H76&gt;0,INDEX(Berechnung!$P$4:$P$53,$H76),"")</f>
        <v/>
      </c>
      <c r="F76" s="54">
        <f>IF($H76&gt;0,INDEX(Berechnung!$O$4:$O$53,$H76),IF($J76&gt;0,INDEX($P$1:$P$27,$J76),""))</f>
        <v/>
      </c>
      <c r="H76" s="43">
        <f>IFERROR(MATCH(53,Berechnung!$A$4:$A$53,0),0)</f>
        <v/>
      </c>
      <c r="I76" s="43">
        <f>53-Berechnung!$E$71</f>
        <v/>
      </c>
      <c r="J76" s="43">
        <f>IF($I76&gt;=1,IFERROR(MATCH($I76,$N$1:$N$27,0),0),0)</f>
        <v/>
      </c>
    </row>
    <row r="77" ht="15" customHeight="1">
      <c r="A77" s="51">
        <f>IF($H77&gt;0,54,"")</f>
        <v/>
      </c>
      <c r="B77" s="52">
        <f>IF($H77&gt;0,INDEX(Berechnung!$D$4:$D$53,$H77)&amp;IF(INDEX(Eingabe!$J$43:$J$92,$H77)="",""," – "&amp;INDEX(Eingabe!$J$43:$J$92,$H77))&amp;IF(OR(INDEX(Berechnung!$B$4:$B$53,$H77)="",INDEX(Berechnung!$B$4:$B$53,$H77)=INDEX(Bereiche,1)),""," ("&amp;INDEX(Berechnung!$B$4:$B$53,$H77)&amp;")"),IF($J77&gt;0,INDEX($O$1:$O$27,$J77),""))</f>
        <v/>
      </c>
      <c r="C77" s="53">
        <f>IF($H77&gt;0,INDEX(Berechnung!$E$4:$E$53,$H77),"")</f>
        <v/>
      </c>
      <c r="D77" s="51">
        <f>IF($H77&gt;0,INDEX(Berechnung!$F$4:$F$53,$H77),"")</f>
        <v/>
      </c>
      <c r="E77" s="54">
        <f>IF($H77&gt;0,INDEX(Berechnung!$P$4:$P$53,$H77),"")</f>
        <v/>
      </c>
      <c r="F77" s="54">
        <f>IF($H77&gt;0,INDEX(Berechnung!$O$4:$O$53,$H77),IF($J77&gt;0,INDEX($P$1:$P$27,$J77),""))</f>
        <v/>
      </c>
      <c r="H77" s="43">
        <f>IFERROR(MATCH(54,Berechnung!$A$4:$A$53,0),0)</f>
        <v/>
      </c>
      <c r="I77" s="43">
        <f>54-Berechnung!$E$71</f>
        <v/>
      </c>
      <c r="J77" s="43">
        <f>IF($I77&gt;=1,IFERROR(MATCH($I77,$N$1:$N$27,0),0),0)</f>
        <v/>
      </c>
    </row>
    <row r="78" ht="15" customHeight="1">
      <c r="A78" s="51">
        <f>IF($H78&gt;0,55,"")</f>
        <v/>
      </c>
      <c r="B78" s="52">
        <f>IF($H78&gt;0,INDEX(Berechnung!$D$4:$D$53,$H78)&amp;IF(INDEX(Eingabe!$J$43:$J$92,$H78)="",""," – "&amp;INDEX(Eingabe!$J$43:$J$92,$H78))&amp;IF(OR(INDEX(Berechnung!$B$4:$B$53,$H78)="",INDEX(Berechnung!$B$4:$B$53,$H78)=INDEX(Bereiche,1)),""," ("&amp;INDEX(Berechnung!$B$4:$B$53,$H78)&amp;")"),IF($J78&gt;0,INDEX($O$1:$O$27,$J78),""))</f>
        <v/>
      </c>
      <c r="C78" s="53">
        <f>IF($H78&gt;0,INDEX(Berechnung!$E$4:$E$53,$H78),"")</f>
        <v/>
      </c>
      <c r="D78" s="51">
        <f>IF($H78&gt;0,INDEX(Berechnung!$F$4:$F$53,$H78),"")</f>
        <v/>
      </c>
      <c r="E78" s="54">
        <f>IF($H78&gt;0,INDEX(Berechnung!$P$4:$P$53,$H78),"")</f>
        <v/>
      </c>
      <c r="F78" s="54">
        <f>IF($H78&gt;0,INDEX(Berechnung!$O$4:$O$53,$H78),IF($J78&gt;0,INDEX($P$1:$P$27,$J78),""))</f>
        <v/>
      </c>
      <c r="H78" s="43">
        <f>IFERROR(MATCH(55,Berechnung!$A$4:$A$53,0),0)</f>
        <v/>
      </c>
      <c r="I78" s="43">
        <f>55-Berechnung!$E$71</f>
        <v/>
      </c>
      <c r="J78" s="43">
        <f>IF($I78&gt;=1,IFERROR(MATCH($I78,$N$1:$N$27,0),0),0)</f>
        <v/>
      </c>
    </row>
    <row r="79" ht="15" customHeight="1">
      <c r="A79" s="51">
        <f>IF($H79&gt;0,56,"")</f>
        <v/>
      </c>
      <c r="B79" s="52">
        <f>IF($H79&gt;0,INDEX(Berechnung!$D$4:$D$53,$H79)&amp;IF(INDEX(Eingabe!$J$43:$J$92,$H79)="",""," – "&amp;INDEX(Eingabe!$J$43:$J$92,$H79))&amp;IF(OR(INDEX(Berechnung!$B$4:$B$53,$H79)="",INDEX(Berechnung!$B$4:$B$53,$H79)=INDEX(Bereiche,1)),""," ("&amp;INDEX(Berechnung!$B$4:$B$53,$H79)&amp;")"),IF($J79&gt;0,INDEX($O$1:$O$27,$J79),""))</f>
        <v/>
      </c>
      <c r="C79" s="53">
        <f>IF($H79&gt;0,INDEX(Berechnung!$E$4:$E$53,$H79),"")</f>
        <v/>
      </c>
      <c r="D79" s="51">
        <f>IF($H79&gt;0,INDEX(Berechnung!$F$4:$F$53,$H79),"")</f>
        <v/>
      </c>
      <c r="E79" s="54">
        <f>IF($H79&gt;0,INDEX(Berechnung!$P$4:$P$53,$H79),"")</f>
        <v/>
      </c>
      <c r="F79" s="54">
        <f>IF($H79&gt;0,INDEX(Berechnung!$O$4:$O$53,$H79),IF($J79&gt;0,INDEX($P$1:$P$27,$J79),""))</f>
        <v/>
      </c>
      <c r="H79" s="43">
        <f>IFERROR(MATCH(56,Berechnung!$A$4:$A$53,0),0)</f>
        <v/>
      </c>
      <c r="I79" s="43">
        <f>56-Berechnung!$E$71</f>
        <v/>
      </c>
      <c r="J79" s="43">
        <f>IF($I79&gt;=1,IFERROR(MATCH($I79,$N$1:$N$27,0),0),0)</f>
        <v/>
      </c>
    </row>
    <row r="80" ht="15" customHeight="1">
      <c r="A80" s="51">
        <f>IF($H80&gt;0,57,"")</f>
        <v/>
      </c>
      <c r="B80" s="52">
        <f>IF($H80&gt;0,INDEX(Berechnung!$D$4:$D$53,$H80)&amp;IF(INDEX(Eingabe!$J$43:$J$92,$H80)="",""," – "&amp;INDEX(Eingabe!$J$43:$J$92,$H80))&amp;IF(OR(INDEX(Berechnung!$B$4:$B$53,$H80)="",INDEX(Berechnung!$B$4:$B$53,$H80)=INDEX(Bereiche,1)),""," ("&amp;INDEX(Berechnung!$B$4:$B$53,$H80)&amp;")"),IF($J80&gt;0,INDEX($O$1:$O$27,$J80),""))</f>
        <v/>
      </c>
      <c r="C80" s="53">
        <f>IF($H80&gt;0,INDEX(Berechnung!$E$4:$E$53,$H80),"")</f>
        <v/>
      </c>
      <c r="D80" s="51">
        <f>IF($H80&gt;0,INDEX(Berechnung!$F$4:$F$53,$H80),"")</f>
        <v/>
      </c>
      <c r="E80" s="54">
        <f>IF($H80&gt;0,INDEX(Berechnung!$P$4:$P$53,$H80),"")</f>
        <v/>
      </c>
      <c r="F80" s="54">
        <f>IF($H80&gt;0,INDEX(Berechnung!$O$4:$O$53,$H80),IF($J80&gt;0,INDEX($P$1:$P$27,$J80),""))</f>
        <v/>
      </c>
      <c r="H80" s="43">
        <f>IFERROR(MATCH(57,Berechnung!$A$4:$A$53,0),0)</f>
        <v/>
      </c>
      <c r="I80" s="43">
        <f>57-Berechnung!$E$71</f>
        <v/>
      </c>
      <c r="J80" s="43">
        <f>IF($I80&gt;=1,IFERROR(MATCH($I80,$N$1:$N$27,0),0),0)</f>
        <v/>
      </c>
    </row>
    <row r="81" ht="15" customHeight="1">
      <c r="A81" s="51">
        <f>IF($H81&gt;0,58,"")</f>
        <v/>
      </c>
      <c r="B81" s="52">
        <f>IF($H81&gt;0,INDEX(Berechnung!$D$4:$D$53,$H81)&amp;IF(INDEX(Eingabe!$J$43:$J$92,$H81)="",""," – "&amp;INDEX(Eingabe!$J$43:$J$92,$H81))&amp;IF(OR(INDEX(Berechnung!$B$4:$B$53,$H81)="",INDEX(Berechnung!$B$4:$B$53,$H81)=INDEX(Bereiche,1)),""," ("&amp;INDEX(Berechnung!$B$4:$B$53,$H81)&amp;")"),IF($J81&gt;0,INDEX($O$1:$O$27,$J81),""))</f>
        <v/>
      </c>
      <c r="C81" s="53">
        <f>IF($H81&gt;0,INDEX(Berechnung!$E$4:$E$53,$H81),"")</f>
        <v/>
      </c>
      <c r="D81" s="51">
        <f>IF($H81&gt;0,INDEX(Berechnung!$F$4:$F$53,$H81),"")</f>
        <v/>
      </c>
      <c r="E81" s="54">
        <f>IF($H81&gt;0,INDEX(Berechnung!$P$4:$P$53,$H81),"")</f>
        <v/>
      </c>
      <c r="F81" s="54">
        <f>IF($H81&gt;0,INDEX(Berechnung!$O$4:$O$53,$H81),IF($J81&gt;0,INDEX($P$1:$P$27,$J81),""))</f>
        <v/>
      </c>
      <c r="H81" s="43">
        <f>IFERROR(MATCH(58,Berechnung!$A$4:$A$53,0),0)</f>
        <v/>
      </c>
      <c r="I81" s="43">
        <f>58-Berechnung!$E$71</f>
        <v/>
      </c>
      <c r="J81" s="43">
        <f>IF($I81&gt;=1,IFERROR(MATCH($I81,$N$1:$N$27,0),0),0)</f>
        <v/>
      </c>
    </row>
    <row r="82" ht="15" customHeight="1">
      <c r="A82" s="51">
        <f>IF($H82&gt;0,59,"")</f>
        <v/>
      </c>
      <c r="B82" s="52">
        <f>IF($H82&gt;0,INDEX(Berechnung!$D$4:$D$53,$H82)&amp;IF(INDEX(Eingabe!$J$43:$J$92,$H82)="",""," – "&amp;INDEX(Eingabe!$J$43:$J$92,$H82))&amp;IF(OR(INDEX(Berechnung!$B$4:$B$53,$H82)="",INDEX(Berechnung!$B$4:$B$53,$H82)=INDEX(Bereiche,1)),""," ("&amp;INDEX(Berechnung!$B$4:$B$53,$H82)&amp;")"),IF($J82&gt;0,INDEX($O$1:$O$27,$J82),""))</f>
        <v/>
      </c>
      <c r="C82" s="53">
        <f>IF($H82&gt;0,INDEX(Berechnung!$E$4:$E$53,$H82),"")</f>
        <v/>
      </c>
      <c r="D82" s="51">
        <f>IF($H82&gt;0,INDEX(Berechnung!$F$4:$F$53,$H82),"")</f>
        <v/>
      </c>
      <c r="E82" s="54">
        <f>IF($H82&gt;0,INDEX(Berechnung!$P$4:$P$53,$H82),"")</f>
        <v/>
      </c>
      <c r="F82" s="54">
        <f>IF($H82&gt;0,INDEX(Berechnung!$O$4:$O$53,$H82),IF($J82&gt;0,INDEX($P$1:$P$27,$J82),""))</f>
        <v/>
      </c>
      <c r="H82" s="43">
        <f>IFERROR(MATCH(59,Berechnung!$A$4:$A$53,0),0)</f>
        <v/>
      </c>
      <c r="I82" s="43">
        <f>59-Berechnung!$E$71</f>
        <v/>
      </c>
      <c r="J82" s="43">
        <f>IF($I82&gt;=1,IFERROR(MATCH($I82,$N$1:$N$27,0),0),0)</f>
        <v/>
      </c>
    </row>
    <row r="83" ht="15" customHeight="1">
      <c r="A83" s="51">
        <f>IF($H83&gt;0,60,"")</f>
        <v/>
      </c>
      <c r="B83" s="52">
        <f>IF($H83&gt;0,INDEX(Berechnung!$D$4:$D$53,$H83)&amp;IF(INDEX(Eingabe!$J$43:$J$92,$H83)="",""," – "&amp;INDEX(Eingabe!$J$43:$J$92,$H83))&amp;IF(OR(INDEX(Berechnung!$B$4:$B$53,$H83)="",INDEX(Berechnung!$B$4:$B$53,$H83)=INDEX(Bereiche,1)),""," ("&amp;INDEX(Berechnung!$B$4:$B$53,$H83)&amp;")"),IF($J83&gt;0,INDEX($O$1:$O$27,$J83),""))</f>
        <v/>
      </c>
      <c r="C83" s="53">
        <f>IF($H83&gt;0,INDEX(Berechnung!$E$4:$E$53,$H83),"")</f>
        <v/>
      </c>
      <c r="D83" s="51">
        <f>IF($H83&gt;0,INDEX(Berechnung!$F$4:$F$53,$H83),"")</f>
        <v/>
      </c>
      <c r="E83" s="54">
        <f>IF($H83&gt;0,INDEX(Berechnung!$P$4:$P$53,$H83),"")</f>
        <v/>
      </c>
      <c r="F83" s="54">
        <f>IF($H83&gt;0,INDEX(Berechnung!$O$4:$O$53,$H83),IF($J83&gt;0,INDEX($P$1:$P$27,$J83),""))</f>
        <v/>
      </c>
      <c r="H83" s="43">
        <f>IFERROR(MATCH(60,Berechnung!$A$4:$A$53,0),0)</f>
        <v/>
      </c>
      <c r="I83" s="43">
        <f>60-Berechnung!$E$71</f>
        <v/>
      </c>
      <c r="J83" s="43">
        <f>IF($I83&gt;=1,IFERROR(MATCH($I83,$N$1:$N$27,0),0),0)</f>
        <v/>
      </c>
    </row>
    <row r="84" ht="15" customHeight="1">
      <c r="A84" s="51">
        <f>IF($H84&gt;0,61,"")</f>
        <v/>
      </c>
      <c r="B84" s="52">
        <f>IF($H84&gt;0,INDEX(Berechnung!$D$4:$D$53,$H84)&amp;IF(INDEX(Eingabe!$J$43:$J$92,$H84)="",""," – "&amp;INDEX(Eingabe!$J$43:$J$92,$H84))&amp;IF(OR(INDEX(Berechnung!$B$4:$B$53,$H84)="",INDEX(Berechnung!$B$4:$B$53,$H84)=INDEX(Bereiche,1)),""," ("&amp;INDEX(Berechnung!$B$4:$B$53,$H84)&amp;")"),IF($J84&gt;0,INDEX($O$1:$O$27,$J84),""))</f>
        <v/>
      </c>
      <c r="C84" s="53">
        <f>IF($H84&gt;0,INDEX(Berechnung!$E$4:$E$53,$H84),"")</f>
        <v/>
      </c>
      <c r="D84" s="51">
        <f>IF($H84&gt;0,INDEX(Berechnung!$F$4:$F$53,$H84),"")</f>
        <v/>
      </c>
      <c r="E84" s="54">
        <f>IF($H84&gt;0,INDEX(Berechnung!$P$4:$P$53,$H84),"")</f>
        <v/>
      </c>
      <c r="F84" s="54">
        <f>IF($H84&gt;0,INDEX(Berechnung!$O$4:$O$53,$H84),IF($J84&gt;0,INDEX($P$1:$P$27,$J84),""))</f>
        <v/>
      </c>
      <c r="H84" s="43">
        <f>IFERROR(MATCH(61,Berechnung!$A$4:$A$53,0),0)</f>
        <v/>
      </c>
      <c r="I84" s="43">
        <f>61-Berechnung!$E$71</f>
        <v/>
      </c>
      <c r="J84" s="43">
        <f>IF($I84&gt;=1,IFERROR(MATCH($I84,$N$1:$N$27,0),0),0)</f>
        <v/>
      </c>
    </row>
    <row r="85" ht="15" customHeight="1">
      <c r="A85" s="51">
        <f>IF($H85&gt;0,62,"")</f>
        <v/>
      </c>
      <c r="B85" s="52">
        <f>IF($H85&gt;0,INDEX(Berechnung!$D$4:$D$53,$H85)&amp;IF(INDEX(Eingabe!$J$43:$J$92,$H85)="",""," – "&amp;INDEX(Eingabe!$J$43:$J$92,$H85))&amp;IF(OR(INDEX(Berechnung!$B$4:$B$53,$H85)="",INDEX(Berechnung!$B$4:$B$53,$H85)=INDEX(Bereiche,1)),""," ("&amp;INDEX(Berechnung!$B$4:$B$53,$H85)&amp;")"),IF($J85&gt;0,INDEX($O$1:$O$27,$J85),""))</f>
        <v/>
      </c>
      <c r="C85" s="53">
        <f>IF($H85&gt;0,INDEX(Berechnung!$E$4:$E$53,$H85),"")</f>
        <v/>
      </c>
      <c r="D85" s="51">
        <f>IF($H85&gt;0,INDEX(Berechnung!$F$4:$F$53,$H85),"")</f>
        <v/>
      </c>
      <c r="E85" s="54">
        <f>IF($H85&gt;0,INDEX(Berechnung!$P$4:$P$53,$H85),"")</f>
        <v/>
      </c>
      <c r="F85" s="54">
        <f>IF($H85&gt;0,INDEX(Berechnung!$O$4:$O$53,$H85),IF($J85&gt;0,INDEX($P$1:$P$27,$J85),""))</f>
        <v/>
      </c>
      <c r="H85" s="43">
        <f>IFERROR(MATCH(62,Berechnung!$A$4:$A$53,0),0)</f>
        <v/>
      </c>
      <c r="I85" s="43">
        <f>62-Berechnung!$E$71</f>
        <v/>
      </c>
      <c r="J85" s="43">
        <f>IF($I85&gt;=1,IFERROR(MATCH($I85,$N$1:$N$27,0),0),0)</f>
        <v/>
      </c>
    </row>
    <row r="86" ht="15" customHeight="1">
      <c r="A86" s="51">
        <f>IF($H86&gt;0,63,"")</f>
        <v/>
      </c>
      <c r="B86" s="52">
        <f>IF($H86&gt;0,INDEX(Berechnung!$D$4:$D$53,$H86)&amp;IF(INDEX(Eingabe!$J$43:$J$92,$H86)="",""," – "&amp;INDEX(Eingabe!$J$43:$J$92,$H86))&amp;IF(OR(INDEX(Berechnung!$B$4:$B$53,$H86)="",INDEX(Berechnung!$B$4:$B$53,$H86)=INDEX(Bereiche,1)),""," ("&amp;INDEX(Berechnung!$B$4:$B$53,$H86)&amp;")"),IF($J86&gt;0,INDEX($O$1:$O$27,$J86),""))</f>
        <v/>
      </c>
      <c r="C86" s="53">
        <f>IF($H86&gt;0,INDEX(Berechnung!$E$4:$E$53,$H86),"")</f>
        <v/>
      </c>
      <c r="D86" s="51">
        <f>IF($H86&gt;0,INDEX(Berechnung!$F$4:$F$53,$H86),"")</f>
        <v/>
      </c>
      <c r="E86" s="54">
        <f>IF($H86&gt;0,INDEX(Berechnung!$P$4:$P$53,$H86),"")</f>
        <v/>
      </c>
      <c r="F86" s="54">
        <f>IF($H86&gt;0,INDEX(Berechnung!$O$4:$O$53,$H86),IF($J86&gt;0,INDEX($P$1:$P$27,$J86),""))</f>
        <v/>
      </c>
      <c r="H86" s="43">
        <f>IFERROR(MATCH(63,Berechnung!$A$4:$A$53,0),0)</f>
        <v/>
      </c>
      <c r="I86" s="43">
        <f>63-Berechnung!$E$71</f>
        <v/>
      </c>
      <c r="J86" s="43">
        <f>IF($I86&gt;=1,IFERROR(MATCH($I86,$N$1:$N$27,0),0),0)</f>
        <v/>
      </c>
    </row>
    <row r="87" ht="15" customHeight="1">
      <c r="A87" s="51">
        <f>IF($H87&gt;0,64,"")</f>
        <v/>
      </c>
      <c r="B87" s="52">
        <f>IF($H87&gt;0,INDEX(Berechnung!$D$4:$D$53,$H87)&amp;IF(INDEX(Eingabe!$J$43:$J$92,$H87)="",""," – "&amp;INDEX(Eingabe!$J$43:$J$92,$H87))&amp;IF(OR(INDEX(Berechnung!$B$4:$B$53,$H87)="",INDEX(Berechnung!$B$4:$B$53,$H87)=INDEX(Bereiche,1)),""," ("&amp;INDEX(Berechnung!$B$4:$B$53,$H87)&amp;")"),IF($J87&gt;0,INDEX($O$1:$O$27,$J87),""))</f>
        <v/>
      </c>
      <c r="C87" s="53">
        <f>IF($H87&gt;0,INDEX(Berechnung!$E$4:$E$53,$H87),"")</f>
        <v/>
      </c>
      <c r="D87" s="51">
        <f>IF($H87&gt;0,INDEX(Berechnung!$F$4:$F$53,$H87),"")</f>
        <v/>
      </c>
      <c r="E87" s="54">
        <f>IF($H87&gt;0,INDEX(Berechnung!$P$4:$P$53,$H87),"")</f>
        <v/>
      </c>
      <c r="F87" s="54">
        <f>IF($H87&gt;0,INDEX(Berechnung!$O$4:$O$53,$H87),IF($J87&gt;0,INDEX($P$1:$P$27,$J87),""))</f>
        <v/>
      </c>
      <c r="H87" s="43">
        <f>IFERROR(MATCH(64,Berechnung!$A$4:$A$53,0),0)</f>
        <v/>
      </c>
      <c r="I87" s="43">
        <f>64-Berechnung!$E$71</f>
        <v/>
      </c>
      <c r="J87" s="43">
        <f>IF($I87&gt;=1,IFERROR(MATCH($I87,$N$1:$N$27,0),0),0)</f>
        <v/>
      </c>
    </row>
    <row r="88" ht="15" customHeight="1">
      <c r="A88" s="51">
        <f>IF($H88&gt;0,65,"")</f>
        <v/>
      </c>
      <c r="B88" s="52">
        <f>IF($H88&gt;0,INDEX(Berechnung!$D$4:$D$53,$H88)&amp;IF(INDEX(Eingabe!$J$43:$J$92,$H88)="",""," – "&amp;INDEX(Eingabe!$J$43:$J$92,$H88))&amp;IF(OR(INDEX(Berechnung!$B$4:$B$53,$H88)="",INDEX(Berechnung!$B$4:$B$53,$H88)=INDEX(Bereiche,1)),""," ("&amp;INDEX(Berechnung!$B$4:$B$53,$H88)&amp;")"),IF($J88&gt;0,INDEX($O$1:$O$27,$J88),""))</f>
        <v/>
      </c>
      <c r="C88" s="53">
        <f>IF($H88&gt;0,INDEX(Berechnung!$E$4:$E$53,$H88),"")</f>
        <v/>
      </c>
      <c r="D88" s="51">
        <f>IF($H88&gt;0,INDEX(Berechnung!$F$4:$F$53,$H88),"")</f>
        <v/>
      </c>
      <c r="E88" s="54">
        <f>IF($H88&gt;0,INDEX(Berechnung!$P$4:$P$53,$H88),"")</f>
        <v/>
      </c>
      <c r="F88" s="54">
        <f>IF($H88&gt;0,INDEX(Berechnung!$O$4:$O$53,$H88),IF($J88&gt;0,INDEX($P$1:$P$27,$J88),""))</f>
        <v/>
      </c>
      <c r="H88" s="43">
        <f>IFERROR(MATCH(65,Berechnung!$A$4:$A$53,0),0)</f>
        <v/>
      </c>
      <c r="I88" s="43">
        <f>65-Berechnung!$E$71</f>
        <v/>
      </c>
      <c r="J88" s="43">
        <f>IF($I88&gt;=1,IFERROR(MATCH($I88,$N$1:$N$27,0),0),0)</f>
        <v/>
      </c>
    </row>
    <row r="89" ht="15" customHeight="1">
      <c r="A89" s="51">
        <f>IF($H89&gt;0,66,"")</f>
        <v/>
      </c>
      <c r="B89" s="52">
        <f>IF($H89&gt;0,INDEX(Berechnung!$D$4:$D$53,$H89)&amp;IF(INDEX(Eingabe!$J$43:$J$92,$H89)="",""," – "&amp;INDEX(Eingabe!$J$43:$J$92,$H89))&amp;IF(OR(INDEX(Berechnung!$B$4:$B$53,$H89)="",INDEX(Berechnung!$B$4:$B$53,$H89)=INDEX(Bereiche,1)),""," ("&amp;INDEX(Berechnung!$B$4:$B$53,$H89)&amp;")"),IF($J89&gt;0,INDEX($O$1:$O$27,$J89),""))</f>
        <v/>
      </c>
      <c r="C89" s="53">
        <f>IF($H89&gt;0,INDEX(Berechnung!$E$4:$E$53,$H89),"")</f>
        <v/>
      </c>
      <c r="D89" s="51">
        <f>IF($H89&gt;0,INDEX(Berechnung!$F$4:$F$53,$H89),"")</f>
        <v/>
      </c>
      <c r="E89" s="54">
        <f>IF($H89&gt;0,INDEX(Berechnung!$P$4:$P$53,$H89),"")</f>
        <v/>
      </c>
      <c r="F89" s="54">
        <f>IF($H89&gt;0,INDEX(Berechnung!$O$4:$O$53,$H89),IF($J89&gt;0,INDEX($P$1:$P$27,$J89),""))</f>
        <v/>
      </c>
      <c r="H89" s="43">
        <f>IFERROR(MATCH(66,Berechnung!$A$4:$A$53,0),0)</f>
        <v/>
      </c>
      <c r="I89" s="43">
        <f>66-Berechnung!$E$71</f>
        <v/>
      </c>
      <c r="J89" s="43">
        <f>IF($I89&gt;=1,IFERROR(MATCH($I89,$N$1:$N$27,0),0),0)</f>
        <v/>
      </c>
    </row>
    <row r="90" ht="15" customHeight="1">
      <c r="A90" s="51">
        <f>IF($H90&gt;0,67,"")</f>
        <v/>
      </c>
      <c r="B90" s="52">
        <f>IF($H90&gt;0,INDEX(Berechnung!$D$4:$D$53,$H90)&amp;IF(INDEX(Eingabe!$J$43:$J$92,$H90)="",""," – "&amp;INDEX(Eingabe!$J$43:$J$92,$H90))&amp;IF(OR(INDEX(Berechnung!$B$4:$B$53,$H90)="",INDEX(Berechnung!$B$4:$B$53,$H90)=INDEX(Bereiche,1)),""," ("&amp;INDEX(Berechnung!$B$4:$B$53,$H90)&amp;")"),IF($J90&gt;0,INDEX($O$1:$O$27,$J90),""))</f>
        <v/>
      </c>
      <c r="C90" s="53">
        <f>IF($H90&gt;0,INDEX(Berechnung!$E$4:$E$53,$H90),"")</f>
        <v/>
      </c>
      <c r="D90" s="51">
        <f>IF($H90&gt;0,INDEX(Berechnung!$F$4:$F$53,$H90),"")</f>
        <v/>
      </c>
      <c r="E90" s="54">
        <f>IF($H90&gt;0,INDEX(Berechnung!$P$4:$P$53,$H90),"")</f>
        <v/>
      </c>
      <c r="F90" s="54">
        <f>IF($H90&gt;0,INDEX(Berechnung!$O$4:$O$53,$H90),IF($J90&gt;0,INDEX($P$1:$P$27,$J90),""))</f>
        <v/>
      </c>
      <c r="H90" s="43">
        <f>IFERROR(MATCH(67,Berechnung!$A$4:$A$53,0),0)</f>
        <v/>
      </c>
      <c r="I90" s="43">
        <f>67-Berechnung!$E$71</f>
        <v/>
      </c>
      <c r="J90" s="43">
        <f>IF($I90&gt;=1,IFERROR(MATCH($I90,$N$1:$N$27,0),0),0)</f>
        <v/>
      </c>
    </row>
    <row r="91" ht="15" customHeight="1">
      <c r="A91" s="51">
        <f>IF($H91&gt;0,68,"")</f>
        <v/>
      </c>
      <c r="B91" s="52">
        <f>IF($H91&gt;0,INDEX(Berechnung!$D$4:$D$53,$H91)&amp;IF(INDEX(Eingabe!$J$43:$J$92,$H91)="",""," – "&amp;INDEX(Eingabe!$J$43:$J$92,$H91))&amp;IF(OR(INDEX(Berechnung!$B$4:$B$53,$H91)="",INDEX(Berechnung!$B$4:$B$53,$H91)=INDEX(Bereiche,1)),""," ("&amp;INDEX(Berechnung!$B$4:$B$53,$H91)&amp;")"),IF($J91&gt;0,INDEX($O$1:$O$27,$J91),""))</f>
        <v/>
      </c>
      <c r="C91" s="53">
        <f>IF($H91&gt;0,INDEX(Berechnung!$E$4:$E$53,$H91),"")</f>
        <v/>
      </c>
      <c r="D91" s="51">
        <f>IF($H91&gt;0,INDEX(Berechnung!$F$4:$F$53,$H91),"")</f>
        <v/>
      </c>
      <c r="E91" s="54">
        <f>IF($H91&gt;0,INDEX(Berechnung!$P$4:$P$53,$H91),"")</f>
        <v/>
      </c>
      <c r="F91" s="54">
        <f>IF($H91&gt;0,INDEX(Berechnung!$O$4:$O$53,$H91),IF($J91&gt;0,INDEX($P$1:$P$27,$J91),""))</f>
        <v/>
      </c>
      <c r="H91" s="43">
        <f>IFERROR(MATCH(68,Berechnung!$A$4:$A$53,0),0)</f>
        <v/>
      </c>
      <c r="I91" s="43">
        <f>68-Berechnung!$E$71</f>
        <v/>
      </c>
      <c r="J91" s="43">
        <f>IF($I91&gt;=1,IFERROR(MATCH($I91,$N$1:$N$27,0),0),0)</f>
        <v/>
      </c>
    </row>
    <row r="92" ht="15" customHeight="1">
      <c r="A92" s="51">
        <f>IF($H92&gt;0,69,"")</f>
        <v/>
      </c>
      <c r="B92" s="52">
        <f>IF($H92&gt;0,INDEX(Berechnung!$D$4:$D$53,$H92)&amp;IF(INDEX(Eingabe!$J$43:$J$92,$H92)="",""," – "&amp;INDEX(Eingabe!$J$43:$J$92,$H92))&amp;IF(OR(INDEX(Berechnung!$B$4:$B$53,$H92)="",INDEX(Berechnung!$B$4:$B$53,$H92)=INDEX(Bereiche,1)),""," ("&amp;INDEX(Berechnung!$B$4:$B$53,$H92)&amp;")"),IF($J92&gt;0,INDEX($O$1:$O$27,$J92),""))</f>
        <v/>
      </c>
      <c r="C92" s="53">
        <f>IF($H92&gt;0,INDEX(Berechnung!$E$4:$E$53,$H92),"")</f>
        <v/>
      </c>
      <c r="D92" s="51">
        <f>IF($H92&gt;0,INDEX(Berechnung!$F$4:$F$53,$H92),"")</f>
        <v/>
      </c>
      <c r="E92" s="54">
        <f>IF($H92&gt;0,INDEX(Berechnung!$P$4:$P$53,$H92),"")</f>
        <v/>
      </c>
      <c r="F92" s="54">
        <f>IF($H92&gt;0,INDEX(Berechnung!$O$4:$O$53,$H92),IF($J92&gt;0,INDEX($P$1:$P$27,$J92),""))</f>
        <v/>
      </c>
      <c r="H92" s="43">
        <f>IFERROR(MATCH(69,Berechnung!$A$4:$A$53,0),0)</f>
        <v/>
      </c>
      <c r="I92" s="43">
        <f>69-Berechnung!$E$71</f>
        <v/>
      </c>
      <c r="J92" s="43">
        <f>IF($I92&gt;=1,IFERROR(MATCH($I92,$N$1:$N$27,0),0),0)</f>
        <v/>
      </c>
    </row>
    <row r="93" ht="15" customHeight="1">
      <c r="A93" s="51">
        <f>IF($H93&gt;0,70,"")</f>
        <v/>
      </c>
      <c r="B93" s="52">
        <f>IF($H93&gt;0,INDEX(Berechnung!$D$4:$D$53,$H93)&amp;IF(INDEX(Eingabe!$J$43:$J$92,$H93)="",""," – "&amp;INDEX(Eingabe!$J$43:$J$92,$H93))&amp;IF(OR(INDEX(Berechnung!$B$4:$B$53,$H93)="",INDEX(Berechnung!$B$4:$B$53,$H93)=INDEX(Bereiche,1)),""," ("&amp;INDEX(Berechnung!$B$4:$B$53,$H93)&amp;")"),IF($J93&gt;0,INDEX($O$1:$O$27,$J93),""))</f>
        <v/>
      </c>
      <c r="C93" s="53">
        <f>IF($H93&gt;0,INDEX(Berechnung!$E$4:$E$53,$H93),"")</f>
        <v/>
      </c>
      <c r="D93" s="51">
        <f>IF($H93&gt;0,INDEX(Berechnung!$F$4:$F$53,$H93),"")</f>
        <v/>
      </c>
      <c r="E93" s="54">
        <f>IF($H93&gt;0,INDEX(Berechnung!$P$4:$P$53,$H93),"")</f>
        <v/>
      </c>
      <c r="F93" s="54">
        <f>IF($H93&gt;0,INDEX(Berechnung!$O$4:$O$53,$H93),IF($J93&gt;0,INDEX($P$1:$P$27,$J93),""))</f>
        <v/>
      </c>
      <c r="H93" s="43">
        <f>IFERROR(MATCH(70,Berechnung!$A$4:$A$53,0),0)</f>
        <v/>
      </c>
      <c r="I93" s="43">
        <f>70-Berechnung!$E$71</f>
        <v/>
      </c>
      <c r="J93" s="43">
        <f>IF($I93&gt;=1,IFERROR(MATCH($I93,$N$1:$N$27,0),0),0)</f>
        <v/>
      </c>
    </row>
    <row r="94" ht="15" customHeight="1">
      <c r="A94" s="51">
        <f>IF($H94&gt;0,71,"")</f>
        <v/>
      </c>
      <c r="B94" s="52">
        <f>IF($H94&gt;0,INDEX(Berechnung!$D$4:$D$53,$H94)&amp;IF(INDEX(Eingabe!$J$43:$J$92,$H94)="",""," – "&amp;INDEX(Eingabe!$J$43:$J$92,$H94))&amp;IF(OR(INDEX(Berechnung!$B$4:$B$53,$H94)="",INDEX(Berechnung!$B$4:$B$53,$H94)=INDEX(Bereiche,1)),""," ("&amp;INDEX(Berechnung!$B$4:$B$53,$H94)&amp;")"),IF($J94&gt;0,INDEX($O$1:$O$27,$J94),""))</f>
        <v/>
      </c>
      <c r="C94" s="53">
        <f>IF($H94&gt;0,INDEX(Berechnung!$E$4:$E$53,$H94),"")</f>
        <v/>
      </c>
      <c r="D94" s="51">
        <f>IF($H94&gt;0,INDEX(Berechnung!$F$4:$F$53,$H94),"")</f>
        <v/>
      </c>
      <c r="E94" s="54">
        <f>IF($H94&gt;0,INDEX(Berechnung!$P$4:$P$53,$H94),"")</f>
        <v/>
      </c>
      <c r="F94" s="54">
        <f>IF($H94&gt;0,INDEX(Berechnung!$O$4:$O$53,$H94),IF($J94&gt;0,INDEX($P$1:$P$27,$J94),""))</f>
        <v/>
      </c>
      <c r="H94" s="43">
        <f>IFERROR(MATCH(71,Berechnung!$A$4:$A$53,0),0)</f>
        <v/>
      </c>
      <c r="I94" s="43">
        <f>71-Berechnung!$E$71</f>
        <v/>
      </c>
      <c r="J94" s="43">
        <f>IF($I94&gt;=1,IFERROR(MATCH($I94,$N$1:$N$27,0),0),0)</f>
        <v/>
      </c>
    </row>
    <row r="95" ht="15" customHeight="1">
      <c r="A95" s="51">
        <f>IF($H95&gt;0,72,"")</f>
        <v/>
      </c>
      <c r="B95" s="52">
        <f>IF($H95&gt;0,INDEX(Berechnung!$D$4:$D$53,$H95)&amp;IF(INDEX(Eingabe!$J$43:$J$92,$H95)="",""," – "&amp;INDEX(Eingabe!$J$43:$J$92,$H95))&amp;IF(OR(INDEX(Berechnung!$B$4:$B$53,$H95)="",INDEX(Berechnung!$B$4:$B$53,$H95)=INDEX(Bereiche,1)),""," ("&amp;INDEX(Berechnung!$B$4:$B$53,$H95)&amp;")"),IF($J95&gt;0,INDEX($O$1:$O$27,$J95),""))</f>
        <v/>
      </c>
      <c r="C95" s="53">
        <f>IF($H95&gt;0,INDEX(Berechnung!$E$4:$E$53,$H95),"")</f>
        <v/>
      </c>
      <c r="D95" s="51">
        <f>IF($H95&gt;0,INDEX(Berechnung!$F$4:$F$53,$H95),"")</f>
        <v/>
      </c>
      <c r="E95" s="54">
        <f>IF($H95&gt;0,INDEX(Berechnung!$P$4:$P$53,$H95),"")</f>
        <v/>
      </c>
      <c r="F95" s="54">
        <f>IF($H95&gt;0,INDEX(Berechnung!$O$4:$O$53,$H95),IF($J95&gt;0,INDEX($P$1:$P$27,$J95),""))</f>
        <v/>
      </c>
      <c r="H95" s="43">
        <f>IFERROR(MATCH(72,Berechnung!$A$4:$A$53,0),0)</f>
        <v/>
      </c>
      <c r="I95" s="43">
        <f>72-Berechnung!$E$71</f>
        <v/>
      </c>
      <c r="J95" s="43">
        <f>IF($I95&gt;=1,IFERROR(MATCH($I95,$N$1:$N$27,0),0),0)</f>
        <v/>
      </c>
    </row>
    <row r="96" ht="15" customHeight="1">
      <c r="A96" s="51">
        <f>IF($H96&gt;0,73,"")</f>
        <v/>
      </c>
      <c r="B96" s="52">
        <f>IF($H96&gt;0,INDEX(Berechnung!$D$4:$D$53,$H96)&amp;IF(INDEX(Eingabe!$J$43:$J$92,$H96)="",""," – "&amp;INDEX(Eingabe!$J$43:$J$92,$H96))&amp;IF(OR(INDEX(Berechnung!$B$4:$B$53,$H96)="",INDEX(Berechnung!$B$4:$B$53,$H96)=INDEX(Bereiche,1)),""," ("&amp;INDEX(Berechnung!$B$4:$B$53,$H96)&amp;")"),IF($J96&gt;0,INDEX($O$1:$O$27,$J96),""))</f>
        <v/>
      </c>
      <c r="C96" s="53">
        <f>IF($H96&gt;0,INDEX(Berechnung!$E$4:$E$53,$H96),"")</f>
        <v/>
      </c>
      <c r="D96" s="51">
        <f>IF($H96&gt;0,INDEX(Berechnung!$F$4:$F$53,$H96),"")</f>
        <v/>
      </c>
      <c r="E96" s="54">
        <f>IF($H96&gt;0,INDEX(Berechnung!$P$4:$P$53,$H96),"")</f>
        <v/>
      </c>
      <c r="F96" s="54">
        <f>IF($H96&gt;0,INDEX(Berechnung!$O$4:$O$53,$H96),IF($J96&gt;0,INDEX($P$1:$P$27,$J96),""))</f>
        <v/>
      </c>
      <c r="H96" s="43">
        <f>IFERROR(MATCH(73,Berechnung!$A$4:$A$53,0),0)</f>
        <v/>
      </c>
      <c r="I96" s="43">
        <f>73-Berechnung!$E$71</f>
        <v/>
      </c>
      <c r="J96" s="43">
        <f>IF($I96&gt;=1,IFERROR(MATCH($I96,$N$1:$N$27,0),0),0)</f>
        <v/>
      </c>
    </row>
    <row r="97" ht="15" customHeight="1">
      <c r="A97" s="51">
        <f>IF($H97&gt;0,74,"")</f>
        <v/>
      </c>
      <c r="B97" s="52">
        <f>IF($H97&gt;0,INDEX(Berechnung!$D$4:$D$53,$H97)&amp;IF(INDEX(Eingabe!$J$43:$J$92,$H97)="",""," – "&amp;INDEX(Eingabe!$J$43:$J$92,$H97))&amp;IF(OR(INDEX(Berechnung!$B$4:$B$53,$H97)="",INDEX(Berechnung!$B$4:$B$53,$H97)=INDEX(Bereiche,1)),""," ("&amp;INDEX(Berechnung!$B$4:$B$53,$H97)&amp;")"),IF($J97&gt;0,INDEX($O$1:$O$27,$J97),""))</f>
        <v/>
      </c>
      <c r="C97" s="53">
        <f>IF($H97&gt;0,INDEX(Berechnung!$E$4:$E$53,$H97),"")</f>
        <v/>
      </c>
      <c r="D97" s="51">
        <f>IF($H97&gt;0,INDEX(Berechnung!$F$4:$F$53,$H97),"")</f>
        <v/>
      </c>
      <c r="E97" s="54">
        <f>IF($H97&gt;0,INDEX(Berechnung!$P$4:$P$53,$H97),"")</f>
        <v/>
      </c>
      <c r="F97" s="54">
        <f>IF($H97&gt;0,INDEX(Berechnung!$O$4:$O$53,$H97),IF($J97&gt;0,INDEX($P$1:$P$27,$J97),""))</f>
        <v/>
      </c>
      <c r="H97" s="43">
        <f>IFERROR(MATCH(74,Berechnung!$A$4:$A$53,0),0)</f>
        <v/>
      </c>
      <c r="I97" s="43">
        <f>74-Berechnung!$E$71</f>
        <v/>
      </c>
      <c r="J97" s="43">
        <f>IF($I97&gt;=1,IFERROR(MATCH($I97,$N$1:$N$27,0),0),0)</f>
        <v/>
      </c>
    </row>
    <row r="98" ht="15" customHeight="1">
      <c r="A98" s="51">
        <f>IF($H98&gt;0,75,"")</f>
        <v/>
      </c>
      <c r="B98" s="52">
        <f>IF($H98&gt;0,INDEX(Berechnung!$D$4:$D$53,$H98)&amp;IF(INDEX(Eingabe!$J$43:$J$92,$H98)="",""," – "&amp;INDEX(Eingabe!$J$43:$J$92,$H98))&amp;IF(OR(INDEX(Berechnung!$B$4:$B$53,$H98)="",INDEX(Berechnung!$B$4:$B$53,$H98)=INDEX(Bereiche,1)),""," ("&amp;INDEX(Berechnung!$B$4:$B$53,$H98)&amp;")"),IF($J98&gt;0,INDEX($O$1:$O$27,$J98),""))</f>
        <v/>
      </c>
      <c r="C98" s="53">
        <f>IF($H98&gt;0,INDEX(Berechnung!$E$4:$E$53,$H98),"")</f>
        <v/>
      </c>
      <c r="D98" s="51">
        <f>IF($H98&gt;0,INDEX(Berechnung!$F$4:$F$53,$H98),"")</f>
        <v/>
      </c>
      <c r="E98" s="54">
        <f>IF($H98&gt;0,INDEX(Berechnung!$P$4:$P$53,$H98),"")</f>
        <v/>
      </c>
      <c r="F98" s="54">
        <f>IF($H98&gt;0,INDEX(Berechnung!$O$4:$O$53,$H98),IF($J98&gt;0,INDEX($P$1:$P$27,$J98),""))</f>
        <v/>
      </c>
      <c r="H98" s="43">
        <f>IFERROR(MATCH(75,Berechnung!$A$4:$A$53,0),0)</f>
        <v/>
      </c>
      <c r="I98" s="43">
        <f>75-Berechnung!$E$71</f>
        <v/>
      </c>
      <c r="J98" s="43">
        <f>IF($I98&gt;=1,IFERROR(MATCH($I98,$N$1:$N$27,0),0),0)</f>
        <v/>
      </c>
    </row>
    <row r="99" ht="15" customHeight="1">
      <c r="A99" s="51">
        <f>IF($H99&gt;0,76,"")</f>
        <v/>
      </c>
      <c r="B99" s="52">
        <f>IF($H99&gt;0,INDEX(Berechnung!$D$4:$D$53,$H99)&amp;IF(INDEX(Eingabe!$J$43:$J$92,$H99)="",""," – "&amp;INDEX(Eingabe!$J$43:$J$92,$H99))&amp;IF(OR(INDEX(Berechnung!$B$4:$B$53,$H99)="",INDEX(Berechnung!$B$4:$B$53,$H99)=INDEX(Bereiche,1)),""," ("&amp;INDEX(Berechnung!$B$4:$B$53,$H99)&amp;")"),IF($J99&gt;0,INDEX($O$1:$O$27,$J99),""))</f>
        <v/>
      </c>
      <c r="C99" s="53">
        <f>IF($H99&gt;0,INDEX(Berechnung!$E$4:$E$53,$H99),"")</f>
        <v/>
      </c>
      <c r="D99" s="51">
        <f>IF($H99&gt;0,INDEX(Berechnung!$F$4:$F$53,$H99),"")</f>
        <v/>
      </c>
      <c r="E99" s="54">
        <f>IF($H99&gt;0,INDEX(Berechnung!$P$4:$P$53,$H99),"")</f>
        <v/>
      </c>
      <c r="F99" s="54">
        <f>IF($H99&gt;0,INDEX(Berechnung!$O$4:$O$53,$H99),IF($J99&gt;0,INDEX($P$1:$P$27,$J99),""))</f>
        <v/>
      </c>
      <c r="H99" s="43">
        <f>IFERROR(MATCH(76,Berechnung!$A$4:$A$53,0),0)</f>
        <v/>
      </c>
      <c r="I99" s="43">
        <f>76-Berechnung!$E$71</f>
        <v/>
      </c>
      <c r="J99" s="43">
        <f>IF($I99&gt;=1,IFERROR(MATCH($I99,$N$1:$N$27,0),0),0)</f>
        <v/>
      </c>
    </row>
    <row r="100" ht="15" customHeight="1">
      <c r="A100" s="51">
        <f>IF($H100&gt;0,77,"")</f>
        <v/>
      </c>
      <c r="B100" s="52">
        <f>IF($H100&gt;0,INDEX(Berechnung!$D$4:$D$53,$H100)&amp;IF(INDEX(Eingabe!$J$43:$J$92,$H100)="",""," – "&amp;INDEX(Eingabe!$J$43:$J$92,$H100))&amp;IF(OR(INDEX(Berechnung!$B$4:$B$53,$H100)="",INDEX(Berechnung!$B$4:$B$53,$H100)=INDEX(Bereiche,1)),""," ("&amp;INDEX(Berechnung!$B$4:$B$53,$H100)&amp;")"),IF($J100&gt;0,INDEX($O$1:$O$27,$J100),""))</f>
        <v/>
      </c>
      <c r="C100" s="53">
        <f>IF($H100&gt;0,INDEX(Berechnung!$E$4:$E$53,$H100),"")</f>
        <v/>
      </c>
      <c r="D100" s="51">
        <f>IF($H100&gt;0,INDEX(Berechnung!$F$4:$F$53,$H100),"")</f>
        <v/>
      </c>
      <c r="E100" s="54">
        <f>IF($H100&gt;0,INDEX(Berechnung!$P$4:$P$53,$H100),"")</f>
        <v/>
      </c>
      <c r="F100" s="54">
        <f>IF($H100&gt;0,INDEX(Berechnung!$O$4:$O$53,$H100),IF($J100&gt;0,INDEX($P$1:$P$27,$J100),""))</f>
        <v/>
      </c>
      <c r="H100" s="43">
        <f>IFERROR(MATCH(77,Berechnung!$A$4:$A$53,0),0)</f>
        <v/>
      </c>
      <c r="I100" s="43">
        <f>77-Berechnung!$E$71</f>
        <v/>
      </c>
      <c r="J100" s="43">
        <f>IF($I100&gt;=1,IFERROR(MATCH($I100,$N$1:$N$27,0),0),0)</f>
        <v/>
      </c>
    </row>
    <row r="101" ht="15" customHeight="1">
      <c r="A101" s="51">
        <f>IF($H101&gt;0,78,"")</f>
        <v/>
      </c>
      <c r="B101" s="52">
        <f>IF($H101&gt;0,INDEX(Berechnung!$D$4:$D$53,$H101)&amp;IF(INDEX(Eingabe!$J$43:$J$92,$H101)="",""," – "&amp;INDEX(Eingabe!$J$43:$J$92,$H101))&amp;IF(OR(INDEX(Berechnung!$B$4:$B$53,$H101)="",INDEX(Berechnung!$B$4:$B$53,$H101)=INDEX(Bereiche,1)),""," ("&amp;INDEX(Berechnung!$B$4:$B$53,$H101)&amp;")"),IF($J101&gt;0,INDEX($O$1:$O$27,$J101),""))</f>
        <v/>
      </c>
      <c r="C101" s="53">
        <f>IF($H101&gt;0,INDEX(Berechnung!$E$4:$E$53,$H101),"")</f>
        <v/>
      </c>
      <c r="D101" s="51">
        <f>IF($H101&gt;0,INDEX(Berechnung!$F$4:$F$53,$H101),"")</f>
        <v/>
      </c>
      <c r="E101" s="54">
        <f>IF($H101&gt;0,INDEX(Berechnung!$P$4:$P$53,$H101),"")</f>
        <v/>
      </c>
      <c r="F101" s="54">
        <f>IF($H101&gt;0,INDEX(Berechnung!$O$4:$O$53,$H101),IF($J101&gt;0,INDEX($P$1:$P$27,$J101),""))</f>
        <v/>
      </c>
      <c r="H101" s="43">
        <f>IFERROR(MATCH(78,Berechnung!$A$4:$A$53,0),0)</f>
        <v/>
      </c>
      <c r="I101" s="43">
        <f>78-Berechnung!$E$71</f>
        <v/>
      </c>
      <c r="J101" s="43">
        <f>IF($I101&gt;=1,IFERROR(MATCH($I101,$N$1:$N$27,0),0),0)</f>
        <v/>
      </c>
    </row>
    <row r="102" ht="15" customHeight="1">
      <c r="A102" s="51">
        <f>IF($H102&gt;0,79,"")</f>
        <v/>
      </c>
      <c r="B102" s="52">
        <f>IF($H102&gt;0,INDEX(Berechnung!$D$4:$D$53,$H102)&amp;IF(INDEX(Eingabe!$J$43:$J$92,$H102)="",""," – "&amp;INDEX(Eingabe!$J$43:$J$92,$H102))&amp;IF(OR(INDEX(Berechnung!$B$4:$B$53,$H102)="",INDEX(Berechnung!$B$4:$B$53,$H102)=INDEX(Bereiche,1)),""," ("&amp;INDEX(Berechnung!$B$4:$B$53,$H102)&amp;")"),IF($J102&gt;0,INDEX($O$1:$O$27,$J102),""))</f>
        <v/>
      </c>
      <c r="C102" s="53">
        <f>IF($H102&gt;0,INDEX(Berechnung!$E$4:$E$53,$H102),"")</f>
        <v/>
      </c>
      <c r="D102" s="51">
        <f>IF($H102&gt;0,INDEX(Berechnung!$F$4:$F$53,$H102),"")</f>
        <v/>
      </c>
      <c r="E102" s="54">
        <f>IF($H102&gt;0,INDEX(Berechnung!$P$4:$P$53,$H102),"")</f>
        <v/>
      </c>
      <c r="F102" s="54">
        <f>IF($H102&gt;0,INDEX(Berechnung!$O$4:$O$53,$H102),IF($J102&gt;0,INDEX($P$1:$P$27,$J102),""))</f>
        <v/>
      </c>
      <c r="H102" s="43">
        <f>IFERROR(MATCH(79,Berechnung!$A$4:$A$53,0),0)</f>
        <v/>
      </c>
      <c r="I102" s="43">
        <f>79-Berechnung!$E$71</f>
        <v/>
      </c>
      <c r="J102" s="43">
        <f>IF($I102&gt;=1,IFERROR(MATCH($I102,$N$1:$N$27,0),0),0)</f>
        <v/>
      </c>
    </row>
    <row r="103" ht="15" customHeight="1">
      <c r="A103" s="51">
        <f>IF($H103&gt;0,80,"")</f>
        <v/>
      </c>
      <c r="B103" s="52">
        <f>IF($H103&gt;0,INDEX(Berechnung!$D$4:$D$53,$H103)&amp;IF(INDEX(Eingabe!$J$43:$J$92,$H103)="",""," – "&amp;INDEX(Eingabe!$J$43:$J$92,$H103))&amp;IF(OR(INDEX(Berechnung!$B$4:$B$53,$H103)="",INDEX(Berechnung!$B$4:$B$53,$H103)=INDEX(Bereiche,1)),""," ("&amp;INDEX(Berechnung!$B$4:$B$53,$H103)&amp;")"),IF($J103&gt;0,INDEX($O$1:$O$27,$J103),""))</f>
        <v/>
      </c>
      <c r="C103" s="53">
        <f>IF($H103&gt;0,INDEX(Berechnung!$E$4:$E$53,$H103),"")</f>
        <v/>
      </c>
      <c r="D103" s="51">
        <f>IF($H103&gt;0,INDEX(Berechnung!$F$4:$F$53,$H103),"")</f>
        <v/>
      </c>
      <c r="E103" s="54">
        <f>IF($H103&gt;0,INDEX(Berechnung!$P$4:$P$53,$H103),"")</f>
        <v/>
      </c>
      <c r="F103" s="54">
        <f>IF($H103&gt;0,INDEX(Berechnung!$O$4:$O$53,$H103),IF($J103&gt;0,INDEX($P$1:$P$27,$J103),""))</f>
        <v/>
      </c>
      <c r="H103" s="43">
        <f>IFERROR(MATCH(80,Berechnung!$A$4:$A$53,0),0)</f>
        <v/>
      </c>
      <c r="I103" s="43">
        <f>80-Berechnung!$E$71</f>
        <v/>
      </c>
      <c r="J103" s="43">
        <f>IF($I103&gt;=1,IFERROR(MATCH($I103,$N$1:$N$27,0),0),0)</f>
        <v/>
      </c>
    </row>
    <row r="104" ht="15" customHeight="1">
      <c r="A104" s="51">
        <f>IF($H104&gt;0,81,"")</f>
        <v/>
      </c>
      <c r="B104" s="52">
        <f>IF($H104&gt;0,INDEX(Berechnung!$D$4:$D$53,$H104)&amp;IF(INDEX(Eingabe!$J$43:$J$92,$H104)="",""," – "&amp;INDEX(Eingabe!$J$43:$J$92,$H104))&amp;IF(OR(INDEX(Berechnung!$B$4:$B$53,$H104)="",INDEX(Berechnung!$B$4:$B$53,$H104)=INDEX(Bereiche,1)),""," ("&amp;INDEX(Berechnung!$B$4:$B$53,$H104)&amp;")"),IF($J104&gt;0,INDEX($O$1:$O$27,$J104),""))</f>
        <v/>
      </c>
      <c r="C104" s="53">
        <f>IF($H104&gt;0,INDEX(Berechnung!$E$4:$E$53,$H104),"")</f>
        <v/>
      </c>
      <c r="D104" s="51">
        <f>IF($H104&gt;0,INDEX(Berechnung!$F$4:$F$53,$H104),"")</f>
        <v/>
      </c>
      <c r="E104" s="54">
        <f>IF($H104&gt;0,INDEX(Berechnung!$P$4:$P$53,$H104),"")</f>
        <v/>
      </c>
      <c r="F104" s="54">
        <f>IF($H104&gt;0,INDEX(Berechnung!$O$4:$O$53,$H104),IF($J104&gt;0,INDEX($P$1:$P$27,$J104),""))</f>
        <v/>
      </c>
      <c r="H104" s="43">
        <f>IFERROR(MATCH(81,Berechnung!$A$4:$A$53,0),0)</f>
        <v/>
      </c>
      <c r="I104" s="43">
        <f>81-Berechnung!$E$71</f>
        <v/>
      </c>
      <c r="J104" s="43">
        <f>IF($I104&gt;=1,IFERROR(MATCH($I104,$N$1:$N$27,0),0),0)</f>
        <v/>
      </c>
    </row>
    <row r="105" ht="15" customHeight="1">
      <c r="A105" s="51">
        <f>IF($H105&gt;0,82,"")</f>
        <v/>
      </c>
      <c r="B105" s="52">
        <f>IF($H105&gt;0,INDEX(Berechnung!$D$4:$D$53,$H105)&amp;IF(INDEX(Eingabe!$J$43:$J$92,$H105)="",""," – "&amp;INDEX(Eingabe!$J$43:$J$92,$H105))&amp;IF(OR(INDEX(Berechnung!$B$4:$B$53,$H105)="",INDEX(Berechnung!$B$4:$B$53,$H105)=INDEX(Bereiche,1)),""," ("&amp;INDEX(Berechnung!$B$4:$B$53,$H105)&amp;")"),IF($J105&gt;0,INDEX($O$1:$O$27,$J105),""))</f>
        <v/>
      </c>
      <c r="C105" s="53">
        <f>IF($H105&gt;0,INDEX(Berechnung!$E$4:$E$53,$H105),"")</f>
        <v/>
      </c>
      <c r="D105" s="51">
        <f>IF($H105&gt;0,INDEX(Berechnung!$F$4:$F$53,$H105),"")</f>
        <v/>
      </c>
      <c r="E105" s="54">
        <f>IF($H105&gt;0,INDEX(Berechnung!$P$4:$P$53,$H105),"")</f>
        <v/>
      </c>
      <c r="F105" s="54">
        <f>IF($H105&gt;0,INDEX(Berechnung!$O$4:$O$53,$H105),IF($J105&gt;0,INDEX($P$1:$P$27,$J105),""))</f>
        <v/>
      </c>
      <c r="H105" s="43">
        <f>IFERROR(MATCH(82,Berechnung!$A$4:$A$53,0),0)</f>
        <v/>
      </c>
      <c r="I105" s="43">
        <f>82-Berechnung!$E$71</f>
        <v/>
      </c>
      <c r="J105" s="43">
        <f>IF($I105&gt;=1,IFERROR(MATCH($I105,$N$1:$N$27,0),0),0)</f>
        <v/>
      </c>
    </row>
    <row r="106" ht="15" customHeight="1">
      <c r="A106" s="51">
        <f>IF($H106&gt;0,83,"")</f>
        <v/>
      </c>
      <c r="B106" s="52">
        <f>IF($H106&gt;0,INDEX(Berechnung!$D$4:$D$53,$H106)&amp;IF(INDEX(Eingabe!$J$43:$J$92,$H106)="",""," – "&amp;INDEX(Eingabe!$J$43:$J$92,$H106))&amp;IF(OR(INDEX(Berechnung!$B$4:$B$53,$H106)="",INDEX(Berechnung!$B$4:$B$53,$H106)=INDEX(Bereiche,1)),""," ("&amp;INDEX(Berechnung!$B$4:$B$53,$H106)&amp;")"),IF($J106&gt;0,INDEX($O$1:$O$27,$J106),""))</f>
        <v/>
      </c>
      <c r="C106" s="53">
        <f>IF($H106&gt;0,INDEX(Berechnung!$E$4:$E$53,$H106),"")</f>
        <v/>
      </c>
      <c r="D106" s="51">
        <f>IF($H106&gt;0,INDEX(Berechnung!$F$4:$F$53,$H106),"")</f>
        <v/>
      </c>
      <c r="E106" s="54">
        <f>IF($H106&gt;0,INDEX(Berechnung!$P$4:$P$53,$H106),"")</f>
        <v/>
      </c>
      <c r="F106" s="54">
        <f>IF($H106&gt;0,INDEX(Berechnung!$O$4:$O$53,$H106),IF($J106&gt;0,INDEX($P$1:$P$27,$J106),""))</f>
        <v/>
      </c>
      <c r="H106" s="43">
        <f>IFERROR(MATCH(83,Berechnung!$A$4:$A$53,0),0)</f>
        <v/>
      </c>
      <c r="I106" s="43">
        <f>83-Berechnung!$E$71</f>
        <v/>
      </c>
      <c r="J106" s="43">
        <f>IF($I106&gt;=1,IFERROR(MATCH($I106,$N$1:$N$27,0),0),0)</f>
        <v/>
      </c>
    </row>
    <row r="107" ht="15" customHeight="1">
      <c r="A107" s="51">
        <f>IF($H107&gt;0,84,"")</f>
        <v/>
      </c>
      <c r="B107" s="52">
        <f>IF($H107&gt;0,INDEX(Berechnung!$D$4:$D$53,$H107)&amp;IF(INDEX(Eingabe!$J$43:$J$92,$H107)="",""," – "&amp;INDEX(Eingabe!$J$43:$J$92,$H107))&amp;IF(OR(INDEX(Berechnung!$B$4:$B$53,$H107)="",INDEX(Berechnung!$B$4:$B$53,$H107)=INDEX(Bereiche,1)),""," ("&amp;INDEX(Berechnung!$B$4:$B$53,$H107)&amp;")"),IF($J107&gt;0,INDEX($O$1:$O$27,$J107),""))</f>
        <v/>
      </c>
      <c r="C107" s="53">
        <f>IF($H107&gt;0,INDEX(Berechnung!$E$4:$E$53,$H107),"")</f>
        <v/>
      </c>
      <c r="D107" s="51">
        <f>IF($H107&gt;0,INDEX(Berechnung!$F$4:$F$53,$H107),"")</f>
        <v/>
      </c>
      <c r="E107" s="54">
        <f>IF($H107&gt;0,INDEX(Berechnung!$P$4:$P$53,$H107),"")</f>
        <v/>
      </c>
      <c r="F107" s="54">
        <f>IF($H107&gt;0,INDEX(Berechnung!$O$4:$O$53,$H107),IF($J107&gt;0,INDEX($P$1:$P$27,$J107),""))</f>
        <v/>
      </c>
      <c r="H107" s="43">
        <f>IFERROR(MATCH(84,Berechnung!$A$4:$A$53,0),0)</f>
        <v/>
      </c>
      <c r="I107" s="43">
        <f>84-Berechnung!$E$71</f>
        <v/>
      </c>
      <c r="J107" s="43">
        <f>IF($I107&gt;=1,IFERROR(MATCH($I107,$N$1:$N$27,0),0),0)</f>
        <v/>
      </c>
    </row>
    <row r="108" ht="15" customHeight="1">
      <c r="A108" s="51">
        <f>IF($H108&gt;0,85,"")</f>
        <v/>
      </c>
      <c r="B108" s="52">
        <f>IF($H108&gt;0,INDEX(Berechnung!$D$4:$D$53,$H108)&amp;IF(INDEX(Eingabe!$J$43:$J$92,$H108)="",""," – "&amp;INDEX(Eingabe!$J$43:$J$92,$H108))&amp;IF(OR(INDEX(Berechnung!$B$4:$B$53,$H108)="",INDEX(Berechnung!$B$4:$B$53,$H108)=INDEX(Bereiche,1)),""," ("&amp;INDEX(Berechnung!$B$4:$B$53,$H108)&amp;")"),IF($J108&gt;0,INDEX($O$1:$O$27,$J108),""))</f>
        <v/>
      </c>
      <c r="C108" s="53">
        <f>IF($H108&gt;0,INDEX(Berechnung!$E$4:$E$53,$H108),"")</f>
        <v/>
      </c>
      <c r="D108" s="51">
        <f>IF($H108&gt;0,INDEX(Berechnung!$F$4:$F$53,$H108),"")</f>
        <v/>
      </c>
      <c r="E108" s="54">
        <f>IF($H108&gt;0,INDEX(Berechnung!$P$4:$P$53,$H108),"")</f>
        <v/>
      </c>
      <c r="F108" s="54">
        <f>IF($H108&gt;0,INDEX(Berechnung!$O$4:$O$53,$H108),IF($J108&gt;0,INDEX($P$1:$P$27,$J108),""))</f>
        <v/>
      </c>
      <c r="H108" s="43">
        <f>IFERROR(MATCH(85,Berechnung!$A$4:$A$53,0),0)</f>
        <v/>
      </c>
      <c r="I108" s="43">
        <f>85-Berechnung!$E$71</f>
        <v/>
      </c>
      <c r="J108" s="43">
        <f>IF($I108&gt;=1,IFERROR(MATCH($I108,$N$1:$N$27,0),0),0)</f>
        <v/>
      </c>
    </row>
    <row r="109" ht="15" customHeight="1">
      <c r="A109" s="51">
        <f>IF($H109&gt;0,86,"")</f>
        <v/>
      </c>
      <c r="B109" s="52">
        <f>IF($H109&gt;0,INDEX(Berechnung!$D$4:$D$53,$H109)&amp;IF(INDEX(Eingabe!$J$43:$J$92,$H109)="",""," – "&amp;INDEX(Eingabe!$J$43:$J$92,$H109))&amp;IF(OR(INDEX(Berechnung!$B$4:$B$53,$H109)="",INDEX(Berechnung!$B$4:$B$53,$H109)=INDEX(Bereiche,1)),""," ("&amp;INDEX(Berechnung!$B$4:$B$53,$H109)&amp;")"),IF($J109&gt;0,INDEX($O$1:$O$27,$J109),""))</f>
        <v/>
      </c>
      <c r="C109" s="53">
        <f>IF($H109&gt;0,INDEX(Berechnung!$E$4:$E$53,$H109),"")</f>
        <v/>
      </c>
      <c r="D109" s="51">
        <f>IF($H109&gt;0,INDEX(Berechnung!$F$4:$F$53,$H109),"")</f>
        <v/>
      </c>
      <c r="E109" s="54">
        <f>IF($H109&gt;0,INDEX(Berechnung!$P$4:$P$53,$H109),"")</f>
        <v/>
      </c>
      <c r="F109" s="54">
        <f>IF($H109&gt;0,INDEX(Berechnung!$O$4:$O$53,$H109),IF($J109&gt;0,INDEX($P$1:$P$27,$J109),""))</f>
        <v/>
      </c>
      <c r="H109" s="43">
        <f>IFERROR(MATCH(86,Berechnung!$A$4:$A$53,0),0)</f>
        <v/>
      </c>
      <c r="I109" s="43">
        <f>86-Berechnung!$E$71</f>
        <v/>
      </c>
      <c r="J109" s="43">
        <f>IF($I109&gt;=1,IFERROR(MATCH($I109,$N$1:$N$27,0),0),0)</f>
        <v/>
      </c>
    </row>
    <row r="110" ht="15" customHeight="1">
      <c r="A110" s="51">
        <f>IF($H110&gt;0,87,"")</f>
        <v/>
      </c>
      <c r="B110" s="52">
        <f>IF($H110&gt;0,INDEX(Berechnung!$D$4:$D$53,$H110)&amp;IF(INDEX(Eingabe!$J$43:$J$92,$H110)="",""," – "&amp;INDEX(Eingabe!$J$43:$J$92,$H110))&amp;IF(OR(INDEX(Berechnung!$B$4:$B$53,$H110)="",INDEX(Berechnung!$B$4:$B$53,$H110)=INDEX(Bereiche,1)),""," ("&amp;INDEX(Berechnung!$B$4:$B$53,$H110)&amp;")"),IF($J110&gt;0,INDEX($O$1:$O$27,$J110),""))</f>
        <v/>
      </c>
      <c r="C110" s="53">
        <f>IF($H110&gt;0,INDEX(Berechnung!$E$4:$E$53,$H110),"")</f>
        <v/>
      </c>
      <c r="D110" s="51">
        <f>IF($H110&gt;0,INDEX(Berechnung!$F$4:$F$53,$H110),"")</f>
        <v/>
      </c>
      <c r="E110" s="54">
        <f>IF($H110&gt;0,INDEX(Berechnung!$P$4:$P$53,$H110),"")</f>
        <v/>
      </c>
      <c r="F110" s="54">
        <f>IF($H110&gt;0,INDEX(Berechnung!$O$4:$O$53,$H110),IF($J110&gt;0,INDEX($P$1:$P$27,$J110),""))</f>
        <v/>
      </c>
      <c r="H110" s="43">
        <f>IFERROR(MATCH(87,Berechnung!$A$4:$A$53,0),0)</f>
        <v/>
      </c>
      <c r="I110" s="43">
        <f>87-Berechnung!$E$71</f>
        <v/>
      </c>
      <c r="J110" s="43">
        <f>IF($I110&gt;=1,IFERROR(MATCH($I110,$N$1:$N$27,0),0),0)</f>
        <v/>
      </c>
    </row>
    <row r="111" ht="15" customHeight="1">
      <c r="A111" s="51">
        <f>IF($H111&gt;0,88,"")</f>
        <v/>
      </c>
      <c r="B111" s="52">
        <f>IF($H111&gt;0,INDEX(Berechnung!$D$4:$D$53,$H111)&amp;IF(INDEX(Eingabe!$J$43:$J$92,$H111)="",""," – "&amp;INDEX(Eingabe!$J$43:$J$92,$H111))&amp;IF(OR(INDEX(Berechnung!$B$4:$B$53,$H111)="",INDEX(Berechnung!$B$4:$B$53,$H111)=INDEX(Bereiche,1)),""," ("&amp;INDEX(Berechnung!$B$4:$B$53,$H111)&amp;")"),IF($J111&gt;0,INDEX($O$1:$O$27,$J111),""))</f>
        <v/>
      </c>
      <c r="C111" s="53">
        <f>IF($H111&gt;0,INDEX(Berechnung!$E$4:$E$53,$H111),"")</f>
        <v/>
      </c>
      <c r="D111" s="51">
        <f>IF($H111&gt;0,INDEX(Berechnung!$F$4:$F$53,$H111),"")</f>
        <v/>
      </c>
      <c r="E111" s="54">
        <f>IF($H111&gt;0,INDEX(Berechnung!$P$4:$P$53,$H111),"")</f>
        <v/>
      </c>
      <c r="F111" s="54">
        <f>IF($H111&gt;0,INDEX(Berechnung!$O$4:$O$53,$H111),IF($J111&gt;0,INDEX($P$1:$P$27,$J111),""))</f>
        <v/>
      </c>
      <c r="H111" s="43">
        <f>IFERROR(MATCH(88,Berechnung!$A$4:$A$53,0),0)</f>
        <v/>
      </c>
      <c r="I111" s="43">
        <f>88-Berechnung!$E$71</f>
        <v/>
      </c>
      <c r="J111" s="43">
        <f>IF($I111&gt;=1,IFERROR(MATCH($I111,$N$1:$N$27,0),0),0)</f>
        <v/>
      </c>
    </row>
    <row r="112" ht="15" customHeight="1">
      <c r="A112" s="51">
        <f>IF($H112&gt;0,89,"")</f>
        <v/>
      </c>
      <c r="B112" s="52">
        <f>IF($H112&gt;0,INDEX(Berechnung!$D$4:$D$53,$H112)&amp;IF(INDEX(Eingabe!$J$43:$J$92,$H112)="",""," – "&amp;INDEX(Eingabe!$J$43:$J$92,$H112))&amp;IF(OR(INDEX(Berechnung!$B$4:$B$53,$H112)="",INDEX(Berechnung!$B$4:$B$53,$H112)=INDEX(Bereiche,1)),""," ("&amp;INDEX(Berechnung!$B$4:$B$53,$H112)&amp;")"),IF($J112&gt;0,INDEX($O$1:$O$27,$J112),""))</f>
        <v/>
      </c>
      <c r="C112" s="53">
        <f>IF($H112&gt;0,INDEX(Berechnung!$E$4:$E$53,$H112),"")</f>
        <v/>
      </c>
      <c r="D112" s="51">
        <f>IF($H112&gt;0,INDEX(Berechnung!$F$4:$F$53,$H112),"")</f>
        <v/>
      </c>
      <c r="E112" s="54">
        <f>IF($H112&gt;0,INDEX(Berechnung!$P$4:$P$53,$H112),"")</f>
        <v/>
      </c>
      <c r="F112" s="54">
        <f>IF($H112&gt;0,INDEX(Berechnung!$O$4:$O$53,$H112),IF($J112&gt;0,INDEX($P$1:$P$27,$J112),""))</f>
        <v/>
      </c>
      <c r="H112" s="43">
        <f>IFERROR(MATCH(89,Berechnung!$A$4:$A$53,0),0)</f>
        <v/>
      </c>
      <c r="I112" s="43">
        <f>89-Berechnung!$E$71</f>
        <v/>
      </c>
      <c r="J112" s="43">
        <f>IF($I112&gt;=1,IFERROR(MATCH($I112,$N$1:$N$27,0),0),0)</f>
        <v/>
      </c>
    </row>
    <row r="113" ht="15" customHeight="1">
      <c r="A113" s="51">
        <f>IF($H113&gt;0,90,"")</f>
        <v/>
      </c>
      <c r="B113" s="52">
        <f>IF($H113&gt;0,INDEX(Berechnung!$D$4:$D$53,$H113)&amp;IF(INDEX(Eingabe!$J$43:$J$92,$H113)="",""," – "&amp;INDEX(Eingabe!$J$43:$J$92,$H113))&amp;IF(OR(INDEX(Berechnung!$B$4:$B$53,$H113)="",INDEX(Berechnung!$B$4:$B$53,$H113)=INDEX(Bereiche,1)),""," ("&amp;INDEX(Berechnung!$B$4:$B$53,$H113)&amp;")"),IF($J113&gt;0,INDEX($O$1:$O$27,$J113),""))</f>
        <v/>
      </c>
      <c r="C113" s="53">
        <f>IF($H113&gt;0,INDEX(Berechnung!$E$4:$E$53,$H113),"")</f>
        <v/>
      </c>
      <c r="D113" s="51">
        <f>IF($H113&gt;0,INDEX(Berechnung!$F$4:$F$53,$H113),"")</f>
        <v/>
      </c>
      <c r="E113" s="54">
        <f>IF($H113&gt;0,INDEX(Berechnung!$P$4:$P$53,$H113),"")</f>
        <v/>
      </c>
      <c r="F113" s="54">
        <f>IF($H113&gt;0,INDEX(Berechnung!$O$4:$O$53,$H113),IF($J113&gt;0,INDEX($P$1:$P$27,$J113),""))</f>
        <v/>
      </c>
      <c r="H113" s="43">
        <f>IFERROR(MATCH(90,Berechnung!$A$4:$A$53,0),0)</f>
        <v/>
      </c>
      <c r="I113" s="43">
        <f>90-Berechnung!$E$71</f>
        <v/>
      </c>
      <c r="J113" s="43">
        <f>IF($I113&gt;=1,IFERROR(MATCH($I113,$N$1:$N$27,0),0),0)</f>
        <v/>
      </c>
    </row>
    <row r="114" ht="15" customHeight="1">
      <c r="A114" s="51">
        <f>IF($H114&gt;0,91,"")</f>
        <v/>
      </c>
      <c r="B114" s="52">
        <f>IF($H114&gt;0,INDEX(Berechnung!$D$4:$D$53,$H114)&amp;IF(INDEX(Eingabe!$J$43:$J$92,$H114)="",""," – "&amp;INDEX(Eingabe!$J$43:$J$92,$H114))&amp;IF(OR(INDEX(Berechnung!$B$4:$B$53,$H114)="",INDEX(Berechnung!$B$4:$B$53,$H114)=INDEX(Bereiche,1)),""," ("&amp;INDEX(Berechnung!$B$4:$B$53,$H114)&amp;")"),IF($J114&gt;0,INDEX($O$1:$O$27,$J114),""))</f>
        <v/>
      </c>
      <c r="C114" s="53">
        <f>IF($H114&gt;0,INDEX(Berechnung!$E$4:$E$53,$H114),"")</f>
        <v/>
      </c>
      <c r="D114" s="51">
        <f>IF($H114&gt;0,INDEX(Berechnung!$F$4:$F$53,$H114),"")</f>
        <v/>
      </c>
      <c r="E114" s="54">
        <f>IF($H114&gt;0,INDEX(Berechnung!$P$4:$P$53,$H114),"")</f>
        <v/>
      </c>
      <c r="F114" s="54">
        <f>IF($H114&gt;0,INDEX(Berechnung!$O$4:$O$53,$H114),IF($J114&gt;0,INDEX($P$1:$P$27,$J114),""))</f>
        <v/>
      </c>
      <c r="H114" s="43">
        <f>IFERROR(MATCH(91,Berechnung!$A$4:$A$53,0),0)</f>
        <v/>
      </c>
      <c r="I114" s="43">
        <f>91-Berechnung!$E$71</f>
        <v/>
      </c>
      <c r="J114" s="43">
        <f>IF($I114&gt;=1,IFERROR(MATCH($I114,$N$1:$N$27,0),0),0)</f>
        <v/>
      </c>
    </row>
    <row r="115" ht="15" customHeight="1">
      <c r="A115" s="51">
        <f>IF($H115&gt;0,92,"")</f>
        <v/>
      </c>
      <c r="B115" s="52">
        <f>IF($H115&gt;0,INDEX(Berechnung!$D$4:$D$53,$H115)&amp;IF(INDEX(Eingabe!$J$43:$J$92,$H115)="",""," – "&amp;INDEX(Eingabe!$J$43:$J$92,$H115))&amp;IF(OR(INDEX(Berechnung!$B$4:$B$53,$H115)="",INDEX(Berechnung!$B$4:$B$53,$H115)=INDEX(Bereiche,1)),""," ("&amp;INDEX(Berechnung!$B$4:$B$53,$H115)&amp;")"),IF($J115&gt;0,INDEX($O$1:$O$27,$J115),""))</f>
        <v/>
      </c>
      <c r="C115" s="53">
        <f>IF($H115&gt;0,INDEX(Berechnung!$E$4:$E$53,$H115),"")</f>
        <v/>
      </c>
      <c r="D115" s="51">
        <f>IF($H115&gt;0,INDEX(Berechnung!$F$4:$F$53,$H115),"")</f>
        <v/>
      </c>
      <c r="E115" s="54">
        <f>IF($H115&gt;0,INDEX(Berechnung!$P$4:$P$53,$H115),"")</f>
        <v/>
      </c>
      <c r="F115" s="54">
        <f>IF($H115&gt;0,INDEX(Berechnung!$O$4:$O$53,$H115),IF($J115&gt;0,INDEX($P$1:$P$27,$J115),""))</f>
        <v/>
      </c>
      <c r="H115" s="43">
        <f>IFERROR(MATCH(92,Berechnung!$A$4:$A$53,0),0)</f>
        <v/>
      </c>
      <c r="I115" s="43">
        <f>92-Berechnung!$E$71</f>
        <v/>
      </c>
      <c r="J115" s="43">
        <f>IF($I115&gt;=1,IFERROR(MATCH($I115,$N$1:$N$27,0),0),0)</f>
        <v/>
      </c>
    </row>
    <row r="116" ht="15" customHeight="1">
      <c r="A116" s="51">
        <f>IF($H116&gt;0,93,"")</f>
        <v/>
      </c>
      <c r="B116" s="52">
        <f>IF($H116&gt;0,INDEX(Berechnung!$D$4:$D$53,$H116)&amp;IF(INDEX(Eingabe!$J$43:$J$92,$H116)="",""," – "&amp;INDEX(Eingabe!$J$43:$J$92,$H116))&amp;IF(OR(INDEX(Berechnung!$B$4:$B$53,$H116)="",INDEX(Berechnung!$B$4:$B$53,$H116)=INDEX(Bereiche,1)),""," ("&amp;INDEX(Berechnung!$B$4:$B$53,$H116)&amp;")"),IF($J116&gt;0,INDEX($O$1:$O$27,$J116),""))</f>
        <v/>
      </c>
      <c r="C116" s="53">
        <f>IF($H116&gt;0,INDEX(Berechnung!$E$4:$E$53,$H116),"")</f>
        <v/>
      </c>
      <c r="D116" s="51">
        <f>IF($H116&gt;0,INDEX(Berechnung!$F$4:$F$53,$H116),"")</f>
        <v/>
      </c>
      <c r="E116" s="54">
        <f>IF($H116&gt;0,INDEX(Berechnung!$P$4:$P$53,$H116),"")</f>
        <v/>
      </c>
      <c r="F116" s="54">
        <f>IF($H116&gt;0,INDEX(Berechnung!$O$4:$O$53,$H116),IF($J116&gt;0,INDEX($P$1:$P$27,$J116),""))</f>
        <v/>
      </c>
      <c r="H116" s="43">
        <f>IFERROR(MATCH(93,Berechnung!$A$4:$A$53,0),0)</f>
        <v/>
      </c>
      <c r="I116" s="43">
        <f>93-Berechnung!$E$71</f>
        <v/>
      </c>
      <c r="J116" s="43">
        <f>IF($I116&gt;=1,IFERROR(MATCH($I116,$N$1:$N$27,0),0),0)</f>
        <v/>
      </c>
    </row>
    <row r="117" ht="15" customHeight="1">
      <c r="A117" s="51">
        <f>IF($H117&gt;0,94,"")</f>
        <v/>
      </c>
      <c r="B117" s="52">
        <f>IF($H117&gt;0,INDEX(Berechnung!$D$4:$D$53,$H117)&amp;IF(INDEX(Eingabe!$J$43:$J$92,$H117)="",""," – "&amp;INDEX(Eingabe!$J$43:$J$92,$H117))&amp;IF(OR(INDEX(Berechnung!$B$4:$B$53,$H117)="",INDEX(Berechnung!$B$4:$B$53,$H117)=INDEX(Bereiche,1)),""," ("&amp;INDEX(Berechnung!$B$4:$B$53,$H117)&amp;")"),IF($J117&gt;0,INDEX($O$1:$O$27,$J117),""))</f>
        <v/>
      </c>
      <c r="C117" s="53">
        <f>IF($H117&gt;0,INDEX(Berechnung!$E$4:$E$53,$H117),"")</f>
        <v/>
      </c>
      <c r="D117" s="51">
        <f>IF($H117&gt;0,INDEX(Berechnung!$F$4:$F$53,$H117),"")</f>
        <v/>
      </c>
      <c r="E117" s="54">
        <f>IF($H117&gt;0,INDEX(Berechnung!$P$4:$P$53,$H117),"")</f>
        <v/>
      </c>
      <c r="F117" s="54">
        <f>IF($H117&gt;0,INDEX(Berechnung!$O$4:$O$53,$H117),IF($J117&gt;0,INDEX($P$1:$P$27,$J117),""))</f>
        <v/>
      </c>
      <c r="H117" s="43">
        <f>IFERROR(MATCH(94,Berechnung!$A$4:$A$53,0),0)</f>
        <v/>
      </c>
      <c r="I117" s="43">
        <f>94-Berechnung!$E$71</f>
        <v/>
      </c>
      <c r="J117" s="43">
        <f>IF($I117&gt;=1,IFERROR(MATCH($I117,$N$1:$N$27,0),0),0)</f>
        <v/>
      </c>
    </row>
    <row r="118" ht="15" customHeight="1">
      <c r="A118" s="51">
        <f>IF($H118&gt;0,95,"")</f>
        <v/>
      </c>
      <c r="B118" s="52">
        <f>IF($H118&gt;0,INDEX(Berechnung!$D$4:$D$53,$H118)&amp;IF(INDEX(Eingabe!$J$43:$J$92,$H118)="",""," – "&amp;INDEX(Eingabe!$J$43:$J$92,$H118))&amp;IF(OR(INDEX(Berechnung!$B$4:$B$53,$H118)="",INDEX(Berechnung!$B$4:$B$53,$H118)=INDEX(Bereiche,1)),""," ("&amp;INDEX(Berechnung!$B$4:$B$53,$H118)&amp;")"),IF($J118&gt;0,INDEX($O$1:$O$27,$J118),""))</f>
        <v/>
      </c>
      <c r="C118" s="53">
        <f>IF($H118&gt;0,INDEX(Berechnung!$E$4:$E$53,$H118),"")</f>
        <v/>
      </c>
      <c r="D118" s="51">
        <f>IF($H118&gt;0,INDEX(Berechnung!$F$4:$F$53,$H118),"")</f>
        <v/>
      </c>
      <c r="E118" s="54">
        <f>IF($H118&gt;0,INDEX(Berechnung!$P$4:$P$53,$H118),"")</f>
        <v/>
      </c>
      <c r="F118" s="54">
        <f>IF($H118&gt;0,INDEX(Berechnung!$O$4:$O$53,$H118),IF($J118&gt;0,INDEX($P$1:$P$27,$J118),""))</f>
        <v/>
      </c>
      <c r="H118" s="43">
        <f>IFERROR(MATCH(95,Berechnung!$A$4:$A$53,0),0)</f>
        <v/>
      </c>
      <c r="I118" s="43">
        <f>95-Berechnung!$E$71</f>
        <v/>
      </c>
      <c r="J118" s="43">
        <f>IF($I118&gt;=1,IFERROR(MATCH($I118,$N$1:$N$27,0),0),0)</f>
        <v/>
      </c>
    </row>
    <row r="119" ht="15" customHeight="1">
      <c r="A119" s="51">
        <f>IF($H119&gt;0,96,"")</f>
        <v/>
      </c>
      <c r="B119" s="52">
        <f>IF($H119&gt;0,INDEX(Berechnung!$D$4:$D$53,$H119)&amp;IF(INDEX(Eingabe!$J$43:$J$92,$H119)="",""," – "&amp;INDEX(Eingabe!$J$43:$J$92,$H119))&amp;IF(OR(INDEX(Berechnung!$B$4:$B$53,$H119)="",INDEX(Berechnung!$B$4:$B$53,$H119)=INDEX(Bereiche,1)),""," ("&amp;INDEX(Berechnung!$B$4:$B$53,$H119)&amp;")"),IF($J119&gt;0,INDEX($O$1:$O$27,$J119),""))</f>
        <v/>
      </c>
      <c r="C119" s="53">
        <f>IF($H119&gt;0,INDEX(Berechnung!$E$4:$E$53,$H119),"")</f>
        <v/>
      </c>
      <c r="D119" s="51">
        <f>IF($H119&gt;0,INDEX(Berechnung!$F$4:$F$53,$H119),"")</f>
        <v/>
      </c>
      <c r="E119" s="54">
        <f>IF($H119&gt;0,INDEX(Berechnung!$P$4:$P$53,$H119),"")</f>
        <v/>
      </c>
      <c r="F119" s="54">
        <f>IF($H119&gt;0,INDEX(Berechnung!$O$4:$O$53,$H119),IF($J119&gt;0,INDEX($P$1:$P$27,$J119),""))</f>
        <v/>
      </c>
      <c r="H119" s="43">
        <f>IFERROR(MATCH(96,Berechnung!$A$4:$A$53,0),0)</f>
        <v/>
      </c>
      <c r="I119" s="43">
        <f>96-Berechnung!$E$71</f>
        <v/>
      </c>
      <c r="J119" s="43">
        <f>IF($I119&gt;=1,IFERROR(MATCH($I119,$N$1:$N$27,0),0),0)</f>
        <v/>
      </c>
    </row>
    <row r="120" ht="15" customHeight="1">
      <c r="A120" s="51">
        <f>IF($H120&gt;0,97,"")</f>
        <v/>
      </c>
      <c r="B120" s="52">
        <f>IF($H120&gt;0,INDEX(Berechnung!$D$4:$D$53,$H120)&amp;IF(INDEX(Eingabe!$J$43:$J$92,$H120)="",""," – "&amp;INDEX(Eingabe!$J$43:$J$92,$H120))&amp;IF(OR(INDEX(Berechnung!$B$4:$B$53,$H120)="",INDEX(Berechnung!$B$4:$B$53,$H120)=INDEX(Bereiche,1)),""," ("&amp;INDEX(Berechnung!$B$4:$B$53,$H120)&amp;")"),IF($J120&gt;0,INDEX($O$1:$O$27,$J120),""))</f>
        <v/>
      </c>
      <c r="C120" s="53">
        <f>IF($H120&gt;0,INDEX(Berechnung!$E$4:$E$53,$H120),"")</f>
        <v/>
      </c>
      <c r="D120" s="51">
        <f>IF($H120&gt;0,INDEX(Berechnung!$F$4:$F$53,$H120),"")</f>
        <v/>
      </c>
      <c r="E120" s="54">
        <f>IF($H120&gt;0,INDEX(Berechnung!$P$4:$P$53,$H120),"")</f>
        <v/>
      </c>
      <c r="F120" s="54">
        <f>IF($H120&gt;0,INDEX(Berechnung!$O$4:$O$53,$H120),IF($J120&gt;0,INDEX($P$1:$P$27,$J120),""))</f>
        <v/>
      </c>
      <c r="H120" s="43">
        <f>IFERROR(MATCH(97,Berechnung!$A$4:$A$53,0),0)</f>
        <v/>
      </c>
      <c r="I120" s="43">
        <f>97-Berechnung!$E$71</f>
        <v/>
      </c>
      <c r="J120" s="43">
        <f>IF($I120&gt;=1,IFERROR(MATCH($I120,$N$1:$N$27,0),0),0)</f>
        <v/>
      </c>
    </row>
    <row r="121" ht="15" customHeight="1">
      <c r="A121" s="51">
        <f>IF($H121&gt;0,98,"")</f>
        <v/>
      </c>
      <c r="B121" s="52">
        <f>IF($H121&gt;0,INDEX(Berechnung!$D$4:$D$53,$H121)&amp;IF(INDEX(Eingabe!$J$43:$J$92,$H121)="",""," – "&amp;INDEX(Eingabe!$J$43:$J$92,$H121))&amp;IF(OR(INDEX(Berechnung!$B$4:$B$53,$H121)="",INDEX(Berechnung!$B$4:$B$53,$H121)=INDEX(Bereiche,1)),""," ("&amp;INDEX(Berechnung!$B$4:$B$53,$H121)&amp;")"),IF($J121&gt;0,INDEX($O$1:$O$27,$J121),""))</f>
        <v/>
      </c>
      <c r="C121" s="53">
        <f>IF($H121&gt;0,INDEX(Berechnung!$E$4:$E$53,$H121),"")</f>
        <v/>
      </c>
      <c r="D121" s="51">
        <f>IF($H121&gt;0,INDEX(Berechnung!$F$4:$F$53,$H121),"")</f>
        <v/>
      </c>
      <c r="E121" s="54">
        <f>IF($H121&gt;0,INDEX(Berechnung!$P$4:$P$53,$H121),"")</f>
        <v/>
      </c>
      <c r="F121" s="54">
        <f>IF($H121&gt;0,INDEX(Berechnung!$O$4:$O$53,$H121),IF($J121&gt;0,INDEX($P$1:$P$27,$J121),""))</f>
        <v/>
      </c>
      <c r="H121" s="43">
        <f>IFERROR(MATCH(98,Berechnung!$A$4:$A$53,0),0)</f>
        <v/>
      </c>
      <c r="I121" s="43">
        <f>98-Berechnung!$E$71</f>
        <v/>
      </c>
      <c r="J121" s="43">
        <f>IF($I121&gt;=1,IFERROR(MATCH($I121,$N$1:$N$27,0),0),0)</f>
        <v/>
      </c>
    </row>
    <row r="122" ht="15" customHeight="1">
      <c r="A122" s="51">
        <f>IF($H122&gt;0,99,"")</f>
        <v/>
      </c>
      <c r="B122" s="52">
        <f>IF($H122&gt;0,INDEX(Berechnung!$D$4:$D$53,$H122)&amp;IF(INDEX(Eingabe!$J$43:$J$92,$H122)="",""," – "&amp;INDEX(Eingabe!$J$43:$J$92,$H122))&amp;IF(OR(INDEX(Berechnung!$B$4:$B$53,$H122)="",INDEX(Berechnung!$B$4:$B$53,$H122)=INDEX(Bereiche,1)),""," ("&amp;INDEX(Berechnung!$B$4:$B$53,$H122)&amp;")"),IF($J122&gt;0,INDEX($O$1:$O$27,$J122),""))</f>
        <v/>
      </c>
      <c r="C122" s="53">
        <f>IF($H122&gt;0,INDEX(Berechnung!$E$4:$E$53,$H122),"")</f>
        <v/>
      </c>
      <c r="D122" s="51">
        <f>IF($H122&gt;0,INDEX(Berechnung!$F$4:$F$53,$H122),"")</f>
        <v/>
      </c>
      <c r="E122" s="54">
        <f>IF($H122&gt;0,INDEX(Berechnung!$P$4:$P$53,$H122),"")</f>
        <v/>
      </c>
      <c r="F122" s="54">
        <f>IF($H122&gt;0,INDEX(Berechnung!$O$4:$O$53,$H122),IF($J122&gt;0,INDEX($P$1:$P$27,$J122),""))</f>
        <v/>
      </c>
      <c r="H122" s="43">
        <f>IFERROR(MATCH(99,Berechnung!$A$4:$A$53,0),0)</f>
        <v/>
      </c>
      <c r="I122" s="43">
        <f>99-Berechnung!$E$71</f>
        <v/>
      </c>
      <c r="J122" s="43">
        <f>IF($I122&gt;=1,IFERROR(MATCH($I122,$N$1:$N$27,0),0),0)</f>
        <v/>
      </c>
    </row>
    <row r="123" ht="15" customHeight="1">
      <c r="A123" s="51">
        <f>IF($H123&gt;0,100,"")</f>
        <v/>
      </c>
      <c r="B123" s="52">
        <f>IF($H123&gt;0,INDEX(Berechnung!$D$4:$D$53,$H123)&amp;IF(INDEX(Eingabe!$J$43:$J$92,$H123)="",""," – "&amp;INDEX(Eingabe!$J$43:$J$92,$H123))&amp;IF(OR(INDEX(Berechnung!$B$4:$B$53,$H123)="",INDEX(Berechnung!$B$4:$B$53,$H123)=INDEX(Bereiche,1)),""," ("&amp;INDEX(Berechnung!$B$4:$B$53,$H123)&amp;")"),IF($J123&gt;0,INDEX($O$1:$O$27,$J123),""))</f>
        <v/>
      </c>
      <c r="C123" s="53">
        <f>IF($H123&gt;0,INDEX(Berechnung!$E$4:$E$53,$H123),"")</f>
        <v/>
      </c>
      <c r="D123" s="51">
        <f>IF($H123&gt;0,INDEX(Berechnung!$F$4:$F$53,$H123),"")</f>
        <v/>
      </c>
      <c r="E123" s="54">
        <f>IF($H123&gt;0,INDEX(Berechnung!$P$4:$P$53,$H123),"")</f>
        <v/>
      </c>
      <c r="F123" s="54">
        <f>IF($H123&gt;0,INDEX(Berechnung!$O$4:$O$53,$H123),IF($J123&gt;0,INDEX($P$1:$P$27,$J123),""))</f>
        <v/>
      </c>
      <c r="H123" s="43">
        <f>IFERROR(MATCH(100,Berechnung!$A$4:$A$53,0),0)</f>
        <v/>
      </c>
      <c r="I123" s="43">
        <f>100-Berechnung!$E$71</f>
        <v/>
      </c>
      <c r="J123" s="43">
        <f>IF($I123&gt;=1,IFERROR(MATCH($I123,$N$1:$N$27,0),0),0)</f>
        <v/>
      </c>
    </row>
    <row r="124" ht="15" customHeight="1">
      <c r="A124" s="51">
        <f>IF($H124&gt;0,101,"")</f>
        <v/>
      </c>
      <c r="B124" s="52">
        <f>IF($H124&gt;0,INDEX(Berechnung!$D$4:$D$53,$H124)&amp;IF(INDEX(Eingabe!$J$43:$J$92,$H124)="",""," – "&amp;INDEX(Eingabe!$J$43:$J$92,$H124))&amp;IF(OR(INDEX(Berechnung!$B$4:$B$53,$H124)="",INDEX(Berechnung!$B$4:$B$53,$H124)=INDEX(Bereiche,1)),""," ("&amp;INDEX(Berechnung!$B$4:$B$53,$H124)&amp;")"),IF($J124&gt;0,INDEX($O$1:$O$27,$J124),""))</f>
        <v/>
      </c>
      <c r="C124" s="53">
        <f>IF($H124&gt;0,INDEX(Berechnung!$E$4:$E$53,$H124),"")</f>
        <v/>
      </c>
      <c r="D124" s="51">
        <f>IF($H124&gt;0,INDEX(Berechnung!$F$4:$F$53,$H124),"")</f>
        <v/>
      </c>
      <c r="E124" s="54">
        <f>IF($H124&gt;0,INDEX(Berechnung!$P$4:$P$53,$H124),"")</f>
        <v/>
      </c>
      <c r="F124" s="54">
        <f>IF($H124&gt;0,INDEX(Berechnung!$O$4:$O$53,$H124),IF($J124&gt;0,INDEX($P$1:$P$27,$J124),""))</f>
        <v/>
      </c>
      <c r="H124" s="43">
        <f>IFERROR(MATCH(101,Berechnung!$A$4:$A$53,0),0)</f>
        <v/>
      </c>
      <c r="I124" s="43">
        <f>101-Berechnung!$E$71</f>
        <v/>
      </c>
      <c r="J124" s="43">
        <f>IF($I124&gt;=1,IFERROR(MATCH($I124,$N$1:$N$27,0),0),0)</f>
        <v/>
      </c>
    </row>
    <row r="125" ht="15" customHeight="1">
      <c r="A125" s="51">
        <f>IF($H125&gt;0,102,"")</f>
        <v/>
      </c>
      <c r="B125" s="52">
        <f>IF($H125&gt;0,INDEX(Berechnung!$D$4:$D$53,$H125)&amp;IF(INDEX(Eingabe!$J$43:$J$92,$H125)="",""," – "&amp;INDEX(Eingabe!$J$43:$J$92,$H125))&amp;IF(OR(INDEX(Berechnung!$B$4:$B$53,$H125)="",INDEX(Berechnung!$B$4:$B$53,$H125)=INDEX(Bereiche,1)),""," ("&amp;INDEX(Berechnung!$B$4:$B$53,$H125)&amp;")"),IF($J125&gt;0,INDEX($O$1:$O$27,$J125),""))</f>
        <v/>
      </c>
      <c r="C125" s="53">
        <f>IF($H125&gt;0,INDEX(Berechnung!$E$4:$E$53,$H125),"")</f>
        <v/>
      </c>
      <c r="D125" s="51">
        <f>IF($H125&gt;0,INDEX(Berechnung!$F$4:$F$53,$H125),"")</f>
        <v/>
      </c>
      <c r="E125" s="54">
        <f>IF($H125&gt;0,INDEX(Berechnung!$P$4:$P$53,$H125),"")</f>
        <v/>
      </c>
      <c r="F125" s="54">
        <f>IF($H125&gt;0,INDEX(Berechnung!$O$4:$O$53,$H125),IF($J125&gt;0,INDEX($P$1:$P$27,$J125),""))</f>
        <v/>
      </c>
      <c r="H125" s="43">
        <f>IFERROR(MATCH(102,Berechnung!$A$4:$A$53,0),0)</f>
        <v/>
      </c>
      <c r="I125" s="43">
        <f>102-Berechnung!$E$71</f>
        <v/>
      </c>
      <c r="J125" s="43">
        <f>IF($I125&gt;=1,IFERROR(MATCH($I125,$N$1:$N$27,0),0),0)</f>
        <v/>
      </c>
    </row>
    <row r="126" ht="15" customHeight="1">
      <c r="A126" s="51">
        <f>IF($H126&gt;0,103,"")</f>
        <v/>
      </c>
      <c r="B126" s="52">
        <f>IF($H126&gt;0,INDEX(Berechnung!$D$4:$D$53,$H126)&amp;IF(INDEX(Eingabe!$J$43:$J$92,$H126)="",""," – "&amp;INDEX(Eingabe!$J$43:$J$92,$H126))&amp;IF(OR(INDEX(Berechnung!$B$4:$B$53,$H126)="",INDEX(Berechnung!$B$4:$B$53,$H126)=INDEX(Bereiche,1)),""," ("&amp;INDEX(Berechnung!$B$4:$B$53,$H126)&amp;")"),IF($J126&gt;0,INDEX($O$1:$O$27,$J126),""))</f>
        <v/>
      </c>
      <c r="C126" s="53">
        <f>IF($H126&gt;0,INDEX(Berechnung!$E$4:$E$53,$H126),"")</f>
        <v/>
      </c>
      <c r="D126" s="51">
        <f>IF($H126&gt;0,INDEX(Berechnung!$F$4:$F$53,$H126),"")</f>
        <v/>
      </c>
      <c r="E126" s="54">
        <f>IF($H126&gt;0,INDEX(Berechnung!$P$4:$P$53,$H126),"")</f>
        <v/>
      </c>
      <c r="F126" s="54">
        <f>IF($H126&gt;0,INDEX(Berechnung!$O$4:$O$53,$H126),IF($J126&gt;0,INDEX($P$1:$P$27,$J126),""))</f>
        <v/>
      </c>
      <c r="H126" s="43">
        <f>IFERROR(MATCH(103,Berechnung!$A$4:$A$53,0),0)</f>
        <v/>
      </c>
      <c r="I126" s="43">
        <f>103-Berechnung!$E$71</f>
        <v/>
      </c>
      <c r="J126" s="43">
        <f>IF($I126&gt;=1,IFERROR(MATCH($I126,$N$1:$N$27,0),0),0)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7">
    <mergeCell ref="C18:F18"/>
    <mergeCell ref="C17:F17"/>
    <mergeCell ref="C16:F16"/>
    <mergeCell ref="A22:F22"/>
    <mergeCell ref="C19:F19"/>
    <mergeCell ref="D1:F6"/>
    <mergeCell ref="A21:F21"/>
  </mergeCells>
  <conditionalFormatting sqref="A22:F22">
    <cfRule type="expression" priority="1" dxfId="3">
      <formula>$H$2&gt;0</formula>
    </cfRule>
  </conditionalFormatting>
  <conditionalFormatting sqref="A24:F126">
    <cfRule type="expression" priority="2" dxfId="0">
      <formula>AND($J24&gt;=2,$J24&lt;=7,$H$2&gt;0)</formula>
    </cfRule>
    <cfRule type="expression" priority="3" dxfId="4">
      <formula>$H24&gt;0</formula>
    </cfRule>
  </conditionalFormatting>
  <conditionalFormatting sqref="B24:F126">
    <cfRule type="expression" priority="4" dxfId="5">
      <formula>$I24=$N$1+1</formula>
    </cfRule>
    <cfRule type="expression" priority="5" dxfId="6">
      <formula>OR($J24=4,$J24=6)</formula>
    </cfRule>
    <cfRule type="expression" priority="7" dxfId="7">
      <formula>AND($J24&gt;=14,$J24&lt;=21)</formula>
    </cfRule>
    <cfRule type="expression" priority="8" dxfId="8">
      <formula>$J24=27</formula>
    </cfRule>
  </conditionalFormatting>
  <conditionalFormatting sqref="F24:F126">
    <cfRule type="expression" priority="6" dxfId="9">
      <formula>OR($J24=4,$J24=6)</formula>
    </cfRule>
  </conditionalFormatting>
  <conditionalFormatting sqref="A24:B126">
    <cfRule type="expression" priority="9" dxfId="10">
      <formula>$J24=25</formula>
    </cfRule>
  </conditionalFormatting>
  <dataValidations count="1">
    <dataValidation sqref="D1:F6" showDropDown="0" showInputMessage="1" showErrorMessage="0" allowBlank="1" promptTitle="Firmenlogo (optional)" prompt="Platz für Ihr Logo: Register Einfügen, Bilder, Bild auswählen und in diesen Bereich ziehen. Der Blattschutz muss dafür nicht aufgehoben werden. Dieser Hinweis wird nicht gedruckt."/>
  </dataValidations>
  <pageMargins left="0.7" right="0.6" top="0.6" bottom="0.6" header="0.5" footer="0.5"/>
  <pageSetup orientation="portrait" paperSize="9" fitToHeight="0" fitToWidth="1"/>
  <headerFooter>
    <oddHeader/>
    <oddFooter>&amp;R&amp;8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6000"/>
    <outlinePr summaryBelow="1" summaryRight="1"/>
    <pageSetUpPr fitToPage="1"/>
  </sheetPr>
  <dimension ref="A1:I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0" customWidth="1" min="3" max="3"/>
    <col width="18" customWidth="1" min="4" max="4"/>
    <col width="16" customWidth="1" min="5" max="5"/>
    <col width="40" customWidth="1" min="6" max="6"/>
    <col width="3" customWidth="1" min="7" max="7"/>
    <col width="26" customWidth="1" min="8" max="8"/>
    <col width="22" customWidth="1" min="9" max="9"/>
  </cols>
  <sheetData>
    <row r="1">
      <c r="A1" s="5" t="inlineStr">
        <is>
          <t>Stammdaten / Leistungskatalog Dachdecker und Zimmerer (Testversion)</t>
        </is>
      </c>
      <c r="D1" s="47" t="inlineStr">
        <is>
          <t>Preisstand Katalog:</t>
        </is>
      </c>
      <c r="E1" s="12" t="n">
        <v>46266</v>
      </c>
      <c r="F1" s="35">
        <f>IF(Katalog_Eintraege=0,"Katalog-Status: ! Katalog ist leer",IF(Katalog_Probleme&gt;0,"Katalog-Status: ! "&amp;Katalog_Probleme&amp;" Problem(e) - rot markierte Zeilen prüfen","Katalog-Status: OK - "&amp;Katalog_Eintraege&amp;" Leistungen in "&amp;COUNT(Listen!$T$2:$T$301)&amp;" Kategorien"))</f>
        <v/>
      </c>
    </row>
    <row r="2">
      <c r="A2" s="6" t="inlineStr">
        <is>
          <t>Alle gelben Felder sind frei änderbar. Neue Leistungen unten anhängen oder per Rechtsklick auf die Zeilennummer einer Leistung (nicht der ersten), Zeilen einfügen. Neue Kategorien in Spalte I.</t>
        </is>
      </c>
    </row>
    <row r="3">
      <c r="A3" s="20" t="inlineStr">
        <is>
          <t>Kategorie</t>
        </is>
      </c>
      <c r="B3" s="20" t="inlineStr">
        <is>
          <t>Leistung</t>
        </is>
      </c>
      <c r="C3" s="20" t="inlineStr">
        <is>
          <t>Einheit</t>
        </is>
      </c>
      <c r="D3" s="20" t="inlineStr">
        <is>
          <t>Material €/Einheit</t>
        </is>
      </c>
      <c r="E3" s="20" t="inlineStr">
        <is>
          <t>Zeit Std/Einheit</t>
        </is>
      </c>
      <c r="F3" s="20" t="inlineStr">
        <is>
          <t>Prüfung</t>
        </is>
      </c>
      <c r="H3" s="55" t="inlineStr">
        <is>
          <t>Dachfläche / Bauteil</t>
        </is>
      </c>
      <c r="I3" s="55" t="inlineStr">
        <is>
          <t>Kategorien</t>
        </is>
      </c>
    </row>
    <row r="4">
      <c r="A4" s="10" t="inlineStr">
        <is>
          <t>Dachstuhl</t>
        </is>
      </c>
      <c r="B4" s="10" t="inlineStr">
        <is>
          <t>Sparren C24 8/18 einbauen</t>
        </is>
      </c>
      <c r="C4" s="10" t="inlineStr">
        <is>
          <t>m</t>
        </is>
      </c>
      <c r="D4" s="16" t="n">
        <v>14.5</v>
      </c>
      <c r="E4" s="24" t="n">
        <v>0.35</v>
      </c>
      <c r="F4" s="13">
        <f>IF($B4="","",IF(COUNTIF(Katalog_Leistung,$B4)&gt;1,"! Bezeichnung doppelt",IF($A4="","! Kategorie fehlt",IF(ISNA(MATCH($A4,Kategorien,0)),"! Kategorie fehlt in Spalte I",IF(OR(AND($D4&lt;&gt;"",NOT(ISNUMBER($D4))),AND($E4&lt;&gt;"",NOT(ISNUMBER($E4)))),"! Preis oder Zeit ist keine Zahl","OK")))))</f>
        <v/>
      </c>
      <c r="H4" s="10" t="inlineStr">
        <is>
          <t>Gesamtes Dach</t>
        </is>
      </c>
      <c r="I4" s="10" t="inlineStr">
        <is>
          <t>Dachstuhl</t>
        </is>
      </c>
    </row>
    <row r="5">
      <c r="A5" s="10" t="inlineStr">
        <is>
          <t>Dachstuhl</t>
        </is>
      </c>
      <c r="B5" s="10" t="inlineStr">
        <is>
          <t>Pfette 12/24 einbauen</t>
        </is>
      </c>
      <c r="C5" s="10" t="inlineStr">
        <is>
          <t>m</t>
        </is>
      </c>
      <c r="D5" s="16" t="n">
        <v>32</v>
      </c>
      <c r="E5" s="24" t="n">
        <v>0.55</v>
      </c>
      <c r="F5" s="13">
        <f>IF($B5="","",IF(COUNTIF(Katalog_Leistung,$B5)&gt;1,"! Bezeichnung doppelt",IF($A5="","! Kategorie fehlt",IF(ISNA(MATCH($A5,Kategorien,0)),"! Kategorie fehlt in Spalte I",IF(OR(AND($D5&lt;&gt;"",NOT(ISNUMBER($D5))),AND($E5&lt;&gt;"",NOT(ISNUMBER($E5)))),"! Preis oder Zeit ist keine Zahl","OK")))))</f>
        <v/>
      </c>
      <c r="H5" s="10" t="inlineStr">
        <is>
          <t>Hauptdach Süd</t>
        </is>
      </c>
      <c r="I5" s="10" t="inlineStr">
        <is>
          <t>Dacheindeckung</t>
        </is>
      </c>
    </row>
    <row r="6">
      <c r="A6" s="10" t="inlineStr">
        <is>
          <t>Dachstuhl</t>
        </is>
      </c>
      <c r="B6" s="10" t="inlineStr">
        <is>
          <t>Konterlattung 30/50 aufbringen</t>
        </is>
      </c>
      <c r="C6" s="10" t="inlineStr">
        <is>
          <t>m²</t>
        </is>
      </c>
      <c r="D6" s="16" t="n">
        <v>1.8</v>
      </c>
      <c r="E6" s="24" t="n">
        <v>0.1</v>
      </c>
      <c r="F6" s="13">
        <f>IF($B6="","",IF(COUNTIF(Katalog_Leistung,$B6)&gt;1,"! Bezeichnung doppelt",IF($A6="","! Kategorie fehlt",IF(ISNA(MATCH($A6,Kategorien,0)),"! Kategorie fehlt in Spalte I",IF(OR(AND($D6&lt;&gt;"",NOT(ISNUMBER($D6))),AND($E6&lt;&gt;"",NOT(ISNUMBER($E6)))),"! Preis oder Zeit ist keine Zahl","OK")))))</f>
        <v/>
      </c>
      <c r="H6" s="10" t="inlineStr">
        <is>
          <t>Hauptdach Nord</t>
        </is>
      </c>
      <c r="I6" s="10" t="inlineStr">
        <is>
          <t>Dämmung</t>
        </is>
      </c>
    </row>
    <row r="7">
      <c r="A7" s="10" t="inlineStr">
        <is>
          <t>Dacheindeckung</t>
        </is>
      </c>
      <c r="B7" s="10" t="inlineStr">
        <is>
          <t>Tondachziegel decken</t>
        </is>
      </c>
      <c r="C7" s="10" t="inlineStr">
        <is>
          <t>m²</t>
        </is>
      </c>
      <c r="D7" s="16" t="n">
        <v>26</v>
      </c>
      <c r="E7" s="24" t="n">
        <v>0.55</v>
      </c>
      <c r="F7" s="13">
        <f>IF($B7="","",IF(COUNTIF(Katalog_Leistung,$B7)&gt;1,"! Bezeichnung doppelt",IF($A7="","! Kategorie fehlt",IF(ISNA(MATCH($A7,Kategorien,0)),"! Kategorie fehlt in Spalte I",IF(OR(AND($D7&lt;&gt;"",NOT(ISNUMBER($D7))),AND($E7&lt;&gt;"",NOT(ISNUMBER($E7)))),"! Preis oder Zeit ist keine Zahl","OK")))))</f>
        <v/>
      </c>
      <c r="H7" s="10" t="inlineStr">
        <is>
          <t>Hauptdach Ost</t>
        </is>
      </c>
      <c r="I7" s="10" t="inlineStr">
        <is>
          <t>Klempnerarbeiten</t>
        </is>
      </c>
    </row>
    <row r="8">
      <c r="A8" s="10" t="inlineStr">
        <is>
          <t>Dacheindeckung</t>
        </is>
      </c>
      <c r="B8" s="10" t="inlineStr">
        <is>
          <t>Betondachstein decken</t>
        </is>
      </c>
      <c r="C8" s="10" t="inlineStr">
        <is>
          <t>m²</t>
        </is>
      </c>
      <c r="D8" s="16" t="n">
        <v>18</v>
      </c>
      <c r="E8" s="24" t="n">
        <v>0.5</v>
      </c>
      <c r="F8" s="13">
        <f>IF($B8="","",IF(COUNTIF(Katalog_Leistung,$B8)&gt;1,"! Bezeichnung doppelt",IF($A8="","! Kategorie fehlt",IF(ISNA(MATCH($A8,Kategorien,0)),"! Kategorie fehlt in Spalte I",IF(OR(AND($D8&lt;&gt;"",NOT(ISNUMBER($D8))),AND($E8&lt;&gt;"",NOT(ISNUMBER($E8)))),"! Preis oder Zeit ist keine Zahl","OK")))))</f>
        <v/>
      </c>
      <c r="H8" s="10" t="inlineStr">
        <is>
          <t>Hauptdach West</t>
        </is>
      </c>
      <c r="I8" s="10" t="inlineStr">
        <is>
          <t>Flachdach</t>
        </is>
      </c>
    </row>
    <row r="9">
      <c r="A9" s="10" t="inlineStr">
        <is>
          <t>Dacheindeckung</t>
        </is>
      </c>
      <c r="B9" s="10" t="inlineStr">
        <is>
          <t>Firstziegel trocken verlegen</t>
        </is>
      </c>
      <c r="C9" s="10" t="inlineStr">
        <is>
          <t>m</t>
        </is>
      </c>
      <c r="D9" s="16" t="n">
        <v>24</v>
      </c>
      <c r="E9" s="24" t="n">
        <v>0.35</v>
      </c>
      <c r="F9" s="13">
        <f>IF($B9="","",IF(COUNTIF(Katalog_Leistung,$B9)&gt;1,"! Bezeichnung doppelt",IF($A9="","! Kategorie fehlt",IF(ISNA(MATCH($A9,Kategorien,0)),"! Kategorie fehlt in Spalte I",IF(OR(AND($D9&lt;&gt;"",NOT(ISNUMBER($D9))),AND($E9&lt;&gt;"",NOT(ISNUMBER($E9)))),"! Preis oder Zeit ist keine Zahl","OK")))))</f>
        <v/>
      </c>
      <c r="H9" s="10" t="inlineStr">
        <is>
          <t>Gaube</t>
        </is>
      </c>
      <c r="I9" s="10" t="inlineStr">
        <is>
          <t>Sonstiges</t>
        </is>
      </c>
    </row>
    <row r="10">
      <c r="A10" s="10" t="inlineStr">
        <is>
          <t>Dämmung</t>
        </is>
      </c>
      <c r="B10" s="10" t="inlineStr">
        <is>
          <t>Zwischensparrendämmung 200 mm</t>
        </is>
      </c>
      <c r="C10" s="10" t="inlineStr">
        <is>
          <t>m²</t>
        </is>
      </c>
      <c r="D10" s="16" t="n">
        <v>22</v>
      </c>
      <c r="E10" s="24" t="n">
        <v>0.3</v>
      </c>
      <c r="F10" s="13">
        <f>IF($B10="","",IF(COUNTIF(Katalog_Leistung,$B10)&gt;1,"! Bezeichnung doppelt",IF($A10="","! Kategorie fehlt",IF(ISNA(MATCH($A10,Kategorien,0)),"! Kategorie fehlt in Spalte I",IF(OR(AND($D10&lt;&gt;"",NOT(ISNUMBER($D10))),AND($E10&lt;&gt;"",NOT(ISNUMBER($E10)))),"! Preis oder Zeit ist keine Zahl","OK")))))</f>
        <v/>
      </c>
      <c r="H10" s="10" t="inlineStr">
        <is>
          <t>Kehle</t>
        </is>
      </c>
      <c r="I10" s="10" t="n"/>
    </row>
    <row r="11">
      <c r="A11" s="10" t="inlineStr">
        <is>
          <t>Dämmung</t>
        </is>
      </c>
      <c r="B11" s="10" t="inlineStr">
        <is>
          <t>Aufsparrendämmung PIR 140 mm</t>
        </is>
      </c>
      <c r="C11" s="10" t="inlineStr">
        <is>
          <t>m²</t>
        </is>
      </c>
      <c r="D11" s="16" t="n">
        <v>48</v>
      </c>
      <c r="E11" s="24" t="n">
        <v>0.45</v>
      </c>
      <c r="F11" s="13">
        <f>IF($B11="","",IF(COUNTIF(Katalog_Leistung,$B11)&gt;1,"! Bezeichnung doppelt",IF($A11="","! Kategorie fehlt",IF(ISNA(MATCH($A11,Kategorien,0)),"! Kategorie fehlt in Spalte I",IF(OR(AND($D11&lt;&gt;"",NOT(ISNUMBER($D11))),AND($E11&lt;&gt;"",NOT(ISNUMBER($E11)))),"! Preis oder Zeit ist keine Zahl","OK")))))</f>
        <v/>
      </c>
      <c r="H11" s="10" t="inlineStr">
        <is>
          <t>Ortgang</t>
        </is>
      </c>
      <c r="I11" s="10" t="n"/>
    </row>
    <row r="12">
      <c r="A12" s="10" t="inlineStr">
        <is>
          <t>Dämmung</t>
        </is>
      </c>
      <c r="B12" s="10" t="inlineStr">
        <is>
          <t>Dampfbremse verlegen und verkleben</t>
        </is>
      </c>
      <c r="C12" s="10" t="inlineStr">
        <is>
          <t>m²</t>
        </is>
      </c>
      <c r="D12" s="16" t="n">
        <v>6.4</v>
      </c>
      <c r="E12" s="24" t="n">
        <v>0.2</v>
      </c>
      <c r="F12" s="13">
        <f>IF($B12="","",IF(COUNTIF(Katalog_Leistung,$B12)&gt;1,"! Bezeichnung doppelt",IF($A12="","! Kategorie fehlt",IF(ISNA(MATCH($A12,Kategorien,0)),"! Kategorie fehlt in Spalte I",IF(OR(AND($D12&lt;&gt;"",NOT(ISNUMBER($D12))),AND($E12&lt;&gt;"",NOT(ISNUMBER($E12)))),"! Preis oder Zeit ist keine Zahl","OK")))))</f>
        <v/>
      </c>
      <c r="H12" s="10" t="inlineStr">
        <is>
          <t>Traufe</t>
        </is>
      </c>
      <c r="I12" s="10" t="n"/>
    </row>
    <row r="13">
      <c r="A13" s="10" t="inlineStr">
        <is>
          <t>Klempnerarbeiten</t>
        </is>
      </c>
      <c r="B13" s="10" t="inlineStr">
        <is>
          <t>Dachrinne halbrund NW 150</t>
        </is>
      </c>
      <c r="C13" s="10" t="inlineStr">
        <is>
          <t>m</t>
        </is>
      </c>
      <c r="D13" s="16" t="n">
        <v>26</v>
      </c>
      <c r="E13" s="24" t="n">
        <v>0.35</v>
      </c>
      <c r="F13" s="13">
        <f>IF($B13="","",IF(COUNTIF(Katalog_Leistung,$B13)&gt;1,"! Bezeichnung doppelt",IF($A13="","! Kategorie fehlt",IF(ISNA(MATCH($A13,Kategorien,0)),"! Kategorie fehlt in Spalte I",IF(OR(AND($D13&lt;&gt;"",NOT(ISNUMBER($D13))),AND($E13&lt;&gt;"",NOT(ISNUMBER($E13)))),"! Preis oder Zeit ist keine Zahl","OK")))))</f>
        <v/>
      </c>
      <c r="H13" s="10" t="inlineStr">
        <is>
          <t>First</t>
        </is>
      </c>
      <c r="I13" s="10" t="n"/>
    </row>
    <row r="14">
      <c r="A14" s="10" t="inlineStr">
        <is>
          <t>Klempnerarbeiten</t>
        </is>
      </c>
      <c r="B14" s="10" t="inlineStr">
        <is>
          <t>Fallrohr DN 100</t>
        </is>
      </c>
      <c r="C14" s="10" t="inlineStr">
        <is>
          <t>m</t>
        </is>
      </c>
      <c r="D14" s="16" t="n">
        <v>24</v>
      </c>
      <c r="E14" s="24" t="n">
        <v>0.3</v>
      </c>
      <c r="F14" s="13">
        <f>IF($B14="","",IF(COUNTIF(Katalog_Leistung,$B14)&gt;1,"! Bezeichnung doppelt",IF($A14="","! Kategorie fehlt",IF(ISNA(MATCH($A14,Kategorien,0)),"! Kategorie fehlt in Spalte I",IF(OR(AND($D14&lt;&gt;"",NOT(ISNUMBER($D14))),AND($E14&lt;&gt;"",NOT(ISNUMBER($E14)))),"! Preis oder Zeit ist keine Zahl","OK")))))</f>
        <v/>
      </c>
      <c r="H14" s="10" t="inlineStr">
        <is>
          <t>Anbau</t>
        </is>
      </c>
      <c r="I14" s="10" t="n"/>
    </row>
    <row r="15">
      <c r="A15" s="10" t="inlineStr">
        <is>
          <t>Klempnerarbeiten</t>
        </is>
      </c>
      <c r="B15" s="10" t="inlineStr">
        <is>
          <t>Rinnenkessel mit Ablauf</t>
        </is>
      </c>
      <c r="C15" s="10" t="inlineStr">
        <is>
          <t>Stk</t>
        </is>
      </c>
      <c r="D15" s="16" t="n">
        <v>68</v>
      </c>
      <c r="E15" s="24" t="n">
        <v>0.6</v>
      </c>
      <c r="F15" s="13">
        <f>IF($B15="","",IF(COUNTIF(Katalog_Leistung,$B15)&gt;1,"! Bezeichnung doppelt",IF($A15="","! Kategorie fehlt",IF(ISNA(MATCH($A15,Kategorien,0)),"! Kategorie fehlt in Spalte I",IF(OR(AND($D15&lt;&gt;"",NOT(ISNUMBER($D15))),AND($E15&lt;&gt;"",NOT(ISNUMBER($E15)))),"! Preis oder Zeit ist keine Zahl","OK")))))</f>
        <v/>
      </c>
      <c r="H15" s="10" t="inlineStr">
        <is>
          <t>Garage</t>
        </is>
      </c>
      <c r="I15" s="10" t="n"/>
    </row>
    <row r="16">
      <c r="A16" s="10" t="inlineStr">
        <is>
          <t>Flachdach</t>
        </is>
      </c>
      <c r="B16" s="10" t="inlineStr">
        <is>
          <t>Bitumenbahn zweilagig verschweißen</t>
        </is>
      </c>
      <c r="C16" s="10" t="inlineStr">
        <is>
          <t>m²</t>
        </is>
      </c>
      <c r="D16" s="16" t="n">
        <v>32</v>
      </c>
      <c r="E16" s="24" t="n">
        <v>0.55</v>
      </c>
      <c r="F16" s="13">
        <f>IF($B16="","",IF(COUNTIF(Katalog_Leistung,$B16)&gt;1,"! Bezeichnung doppelt",IF($A16="","! Kategorie fehlt",IF(ISNA(MATCH($A16,Kategorien,0)),"! Kategorie fehlt in Spalte I",IF(OR(AND($D16&lt;&gt;"",NOT(ISNUMBER($D16))),AND($E16&lt;&gt;"",NOT(ISNUMBER($E16)))),"! Preis oder Zeit ist keine Zahl","OK")))))</f>
        <v/>
      </c>
      <c r="H16" s="10" t="inlineStr">
        <is>
          <t>Carport</t>
        </is>
      </c>
      <c r="I16" s="10" t="n"/>
    </row>
    <row r="17">
      <c r="A17" s="10" t="inlineStr">
        <is>
          <t>Flachdach</t>
        </is>
      </c>
      <c r="B17" s="10" t="inlineStr">
        <is>
          <t>FPO-Kunststoffbahn verschweißen</t>
        </is>
      </c>
      <c r="C17" s="10" t="inlineStr">
        <is>
          <t>m²</t>
        </is>
      </c>
      <c r="D17" s="16" t="n">
        <v>28</v>
      </c>
      <c r="E17" s="24" t="n">
        <v>0.45</v>
      </c>
      <c r="F17" s="13">
        <f>IF($B17="","",IF(COUNTIF(Katalog_Leistung,$B17)&gt;1,"! Bezeichnung doppelt",IF($A17="","! Kategorie fehlt",IF(ISNA(MATCH($A17,Kategorien,0)),"! Kategorie fehlt in Spalte I",IF(OR(AND($D17&lt;&gt;"",NOT(ISNUMBER($D17))),AND($E17&lt;&gt;"",NOT(ISNUMBER($E17)))),"! Preis oder Zeit ist keine Zahl","OK")))))</f>
        <v/>
      </c>
      <c r="H17" s="10" t="inlineStr">
        <is>
          <t>Flachdach</t>
        </is>
      </c>
      <c r="I17" s="10" t="n"/>
    </row>
    <row r="18">
      <c r="A18" s="10" t="inlineStr">
        <is>
          <t>Flachdach</t>
        </is>
      </c>
      <c r="B18" s="10" t="inlineStr">
        <is>
          <t>Gefälledämmung EPS verlegen</t>
        </is>
      </c>
      <c r="C18" s="10" t="inlineStr">
        <is>
          <t>m²</t>
        </is>
      </c>
      <c r="D18" s="16" t="n">
        <v>34</v>
      </c>
      <c r="E18" s="24" t="n">
        <v>0.35</v>
      </c>
      <c r="F18" s="13">
        <f>IF($B18="","",IF(COUNTIF(Katalog_Leistung,$B18)&gt;1,"! Bezeichnung doppelt",IF($A18="","! Kategorie fehlt",IF(ISNA(MATCH($A18,Kategorien,0)),"! Kategorie fehlt in Spalte I",IF(OR(AND($D18&lt;&gt;"",NOT(ISNUMBER($D18))),AND($E18&lt;&gt;"",NOT(ISNUMBER($E18)))),"! Preis oder Zeit ist keine Zahl","OK")))))</f>
        <v/>
      </c>
      <c r="H18" s="10" t="inlineStr">
        <is>
          <t>Kamin</t>
        </is>
      </c>
      <c r="I18" s="10" t="n"/>
    </row>
    <row r="19">
      <c r="A19" s="10" t="inlineStr">
        <is>
          <t>Sonstiges</t>
        </is>
      </c>
      <c r="B19" s="10" t="inlineStr">
        <is>
          <t>Baustelleneinrichtung</t>
        </is>
      </c>
      <c r="C19" s="10" t="inlineStr">
        <is>
          <t>psch</t>
        </is>
      </c>
      <c r="D19" s="16" t="n">
        <v>0</v>
      </c>
      <c r="E19" s="24" t="n">
        <v>4</v>
      </c>
      <c r="F19" s="13">
        <f>IF($B19="","",IF(COUNTIF(Katalog_Leistung,$B19)&gt;1,"! Bezeichnung doppelt",IF($A19="","! Kategorie fehlt",IF(ISNA(MATCH($A19,Kategorien,0)),"! Kategorie fehlt in Spalte I",IF(OR(AND($D19&lt;&gt;"",NOT(ISNUMBER($D19))),AND($E19&lt;&gt;"",NOT(ISNUMBER($E19)))),"! Preis oder Zeit ist keine Zahl","OK")))))</f>
        <v/>
      </c>
      <c r="H19" s="10" t="inlineStr">
        <is>
          <t>Dachterrasse</t>
        </is>
      </c>
      <c r="I19" s="10" t="n"/>
    </row>
    <row r="20">
      <c r="A20" s="10" t="inlineStr">
        <is>
          <t>Sonstiges</t>
        </is>
      </c>
      <c r="B20" s="10" t="inlineStr">
        <is>
          <t>Gerüst stellen und vorhalten</t>
        </is>
      </c>
      <c r="C20" s="10" t="inlineStr">
        <is>
          <t>m²</t>
        </is>
      </c>
      <c r="D20" s="16" t="n">
        <v>9.5</v>
      </c>
      <c r="E20" s="24" t="n">
        <v>0.12</v>
      </c>
      <c r="F20" s="13">
        <f>IF($B20="","",IF(COUNTIF(Katalog_Leistung,$B20)&gt;1,"! Bezeichnung doppelt",IF($A20="","! Kategorie fehlt",IF(ISNA(MATCH($A20,Kategorien,0)),"! Kategorie fehlt in Spalte I",IF(OR(AND($D20&lt;&gt;"",NOT(ISNUMBER($D20))),AND($E20&lt;&gt;"",NOT(ISNUMBER($E20)))),"! Preis oder Zeit ist keine Zahl","OK")))))</f>
        <v/>
      </c>
      <c r="H20" s="10" t="n"/>
      <c r="I20" s="10" t="n"/>
    </row>
    <row r="21">
      <c r="A21" s="10" t="inlineStr">
        <is>
          <t>Sonstiges</t>
        </is>
      </c>
      <c r="B21" s="10" t="inlineStr">
        <is>
          <t>Anfahrt / Fahrzeit</t>
        </is>
      </c>
      <c r="C21" s="10" t="inlineStr">
        <is>
          <t>Std</t>
        </is>
      </c>
      <c r="D21" s="16" t="n">
        <v>0</v>
      </c>
      <c r="E21" s="24" t="n">
        <v>1</v>
      </c>
      <c r="F21" s="13">
        <f>IF($B21="","",IF(COUNTIF(Katalog_Leistung,$B21)&gt;1,"! Bezeichnung doppelt",IF($A21="","! Kategorie fehlt",IF(ISNA(MATCH($A21,Kategorien,0)),"! Kategorie fehlt in Spalte I",IF(OR(AND($D21&lt;&gt;"",NOT(ISNUMBER($D21))),AND($E21&lt;&gt;"",NOT(ISNUMBER($E21)))),"! Preis oder Zeit ist keine Zahl","OK")))))</f>
        <v/>
      </c>
      <c r="H21" s="10" t="n"/>
      <c r="I21" s="10" t="n"/>
    </row>
    <row r="22">
      <c r="A22" s="10" t="n"/>
      <c r="B22" s="10" t="n"/>
      <c r="C22" s="10" t="n"/>
      <c r="D22" s="16" t="n"/>
      <c r="E22" s="24" t="n"/>
      <c r="F22" s="13">
        <f>IF($B22="","",IF(COUNTIF(Katalog_Leistung,$B22)&gt;1,"! Bezeichnung doppelt",IF($A22="","! Kategorie fehlt",IF(ISNA(MATCH($A22,Kategorien,0)),"! Kategorie fehlt in Spalte I",IF(OR(AND($D22&lt;&gt;"",NOT(ISNUMBER($D22))),AND($E22&lt;&gt;"",NOT(ISNUMBER($E22)))),"! Preis oder Zeit ist keine Zahl","OK")))))</f>
        <v/>
      </c>
      <c r="H22" s="10" t="n"/>
      <c r="I22" s="10" t="n"/>
    </row>
    <row r="23">
      <c r="A23" s="10" t="n"/>
      <c r="B23" s="10" t="n"/>
      <c r="C23" s="10" t="n"/>
      <c r="D23" s="16" t="n"/>
      <c r="E23" s="24" t="n"/>
      <c r="F23" s="13">
        <f>IF($B23="","",IF(COUNTIF(Katalog_Leistung,$B23)&gt;1,"! Bezeichnung doppelt",IF($A23="","! Kategorie fehlt",IF(ISNA(MATCH($A23,Kategorien,0)),"! Kategorie fehlt in Spalte I",IF(OR(AND($D23&lt;&gt;"",NOT(ISNUMBER($D23))),AND($E23&lt;&gt;"",NOT(ISNUMBER($E23)))),"! Preis oder Zeit ist keine Zahl","OK")))))</f>
        <v/>
      </c>
      <c r="H23" s="10" t="n"/>
      <c r="I23" s="10" t="n"/>
    </row>
    <row r="24">
      <c r="A24" s="10" t="n"/>
      <c r="B24" s="10" t="n"/>
      <c r="C24" s="10" t="n"/>
      <c r="D24" s="16" t="n"/>
      <c r="E24" s="24" t="n"/>
      <c r="F24" s="13">
        <f>IF($B24="","",IF(COUNTIF(Katalog_Leistung,$B24)&gt;1,"! Bezeichnung doppelt",IF($A24="","! Kategorie fehlt",IF(ISNA(MATCH($A24,Kategorien,0)),"! Kategorie fehlt in Spalte I",IF(OR(AND($D24&lt;&gt;"",NOT(ISNUMBER($D24))),AND($E24&lt;&gt;"",NOT(ISNUMBER($E24)))),"! Preis oder Zeit ist keine Zahl","OK")))))</f>
        <v/>
      </c>
      <c r="H24" s="10" t="n"/>
      <c r="I24" s="10" t="n"/>
    </row>
    <row r="25">
      <c r="A25" s="10" t="n"/>
      <c r="B25" s="10" t="n"/>
      <c r="C25" s="10" t="n"/>
      <c r="D25" s="16" t="n"/>
      <c r="E25" s="24" t="n"/>
      <c r="F25" s="13">
        <f>IF($B25="","",IF(COUNTIF(Katalog_Leistung,$B25)&gt;1,"! Bezeichnung doppelt",IF($A25="","! Kategorie fehlt",IF(ISNA(MATCH($A25,Kategorien,0)),"! Kategorie fehlt in Spalte I",IF(OR(AND($D25&lt;&gt;"",NOT(ISNUMBER($D25))),AND($E25&lt;&gt;"",NOT(ISNUMBER($E25)))),"! Preis oder Zeit ist keine Zahl","OK")))))</f>
        <v/>
      </c>
      <c r="H25" s="10" t="n"/>
      <c r="I25" s="10" t="n"/>
    </row>
    <row r="26">
      <c r="A26" s="10" t="n"/>
      <c r="B26" s="10" t="n"/>
      <c r="C26" s="10" t="n"/>
      <c r="D26" s="16" t="n"/>
      <c r="E26" s="24" t="n"/>
      <c r="F26" s="13">
        <f>IF($B26="","",IF(COUNTIF(Katalog_Leistung,$B26)&gt;1,"! Bezeichnung doppelt",IF($A26="","! Kategorie fehlt",IF(ISNA(MATCH($A26,Kategorien,0)),"! Kategorie fehlt in Spalte I",IF(OR(AND($D26&lt;&gt;"",NOT(ISNUMBER($D26))),AND($E26&lt;&gt;"",NOT(ISNUMBER($E26)))),"! Preis oder Zeit ist keine Zahl","OK")))))</f>
        <v/>
      </c>
      <c r="H26" s="10" t="n"/>
      <c r="I26" s="10" t="n"/>
    </row>
    <row r="27">
      <c r="A27" s="10" t="n"/>
      <c r="B27" s="10" t="n"/>
      <c r="C27" s="10" t="n"/>
      <c r="D27" s="16" t="n"/>
      <c r="E27" s="24" t="n"/>
      <c r="F27" s="13">
        <f>IF($B27="","",IF(COUNTIF(Katalog_Leistung,$B27)&gt;1,"! Bezeichnung doppelt",IF($A27="","! Kategorie fehlt",IF(ISNA(MATCH($A27,Kategorien,0)),"! Kategorie fehlt in Spalte I",IF(OR(AND($D27&lt;&gt;"",NOT(ISNUMBER($D27))),AND($E27&lt;&gt;"",NOT(ISNUMBER($E27)))),"! Preis oder Zeit ist keine Zahl","OK")))))</f>
        <v/>
      </c>
      <c r="H27" s="10" t="n"/>
      <c r="I27" s="10" t="n"/>
    </row>
    <row r="28">
      <c r="A28" s="10" t="n"/>
      <c r="B28" s="10" t="n"/>
      <c r="C28" s="10" t="n"/>
      <c r="D28" s="16" t="n"/>
      <c r="E28" s="24" t="n"/>
      <c r="F28" s="13">
        <f>IF($B28="","",IF(COUNTIF(Katalog_Leistung,$B28)&gt;1,"! Bezeichnung doppelt",IF($A28="","! Kategorie fehlt",IF(ISNA(MATCH($A28,Kategorien,0)),"! Kategorie fehlt in Spalte I",IF(OR(AND($D28&lt;&gt;"",NOT(ISNUMBER($D28))),AND($E28&lt;&gt;"",NOT(ISNUMBER($E28)))),"! Preis oder Zeit ist keine Zahl","OK")))))</f>
        <v/>
      </c>
      <c r="H28" s="10" t="n"/>
      <c r="I28" s="10" t="n"/>
    </row>
    <row r="29">
      <c r="A29" s="10" t="n"/>
      <c r="B29" s="10" t="n"/>
      <c r="C29" s="10" t="n"/>
      <c r="D29" s="16" t="n"/>
      <c r="E29" s="24" t="n"/>
      <c r="F29" s="13">
        <f>IF($B29="","",IF(COUNTIF(Katalog_Leistung,$B29)&gt;1,"! Bezeichnung doppelt",IF($A29="","! Kategorie fehlt",IF(ISNA(MATCH($A29,Kategorien,0)),"! Kategorie fehlt in Spalte I",IF(OR(AND($D29&lt;&gt;"",NOT(ISNUMBER($D29))),AND($E29&lt;&gt;"",NOT(ISNUMBER($E29)))),"! Preis oder Zeit ist keine Zahl","OK")))))</f>
        <v/>
      </c>
      <c r="H29" s="10" t="n"/>
      <c r="I29" s="10" t="n"/>
    </row>
    <row r="30">
      <c r="A30" s="10" t="n"/>
      <c r="B30" s="10" t="n"/>
      <c r="C30" s="10" t="n"/>
      <c r="D30" s="16" t="n"/>
      <c r="E30" s="24" t="n"/>
      <c r="F30" s="13">
        <f>IF($B30="","",IF(COUNTIF(Katalog_Leistung,$B30)&gt;1,"! Bezeichnung doppelt",IF($A30="","! Kategorie fehlt",IF(ISNA(MATCH($A30,Kategorien,0)),"! Kategorie fehlt in Spalte I",IF(OR(AND($D30&lt;&gt;"",NOT(ISNUMBER($D30))),AND($E30&lt;&gt;"",NOT(ISNUMBER($E30)))),"! Preis oder Zeit ist keine Zahl","OK")))))</f>
        <v/>
      </c>
      <c r="H30" s="10" t="n"/>
      <c r="I30" s="10" t="n"/>
    </row>
    <row r="31">
      <c r="A31" s="10" t="n"/>
      <c r="B31" s="10" t="n"/>
      <c r="C31" s="10" t="n"/>
      <c r="D31" s="16" t="n"/>
      <c r="E31" s="24" t="n"/>
      <c r="F31" s="13">
        <f>IF($B31="","",IF(COUNTIF(Katalog_Leistung,$B31)&gt;1,"! Bezeichnung doppelt",IF($A31="","! Kategorie fehlt",IF(ISNA(MATCH($A31,Kategorien,0)),"! Kategorie fehlt in Spalte I",IF(OR(AND($D31&lt;&gt;"",NOT(ISNUMBER($D31))),AND($E31&lt;&gt;"",NOT(ISNUMBER($E31)))),"! Preis oder Zeit ist keine Zahl","OK")))))</f>
        <v/>
      </c>
      <c r="H31" s="10" t="n"/>
      <c r="I31" s="10" t="n"/>
    </row>
    <row r="32">
      <c r="A32" s="10" t="n"/>
      <c r="B32" s="10" t="n"/>
      <c r="C32" s="10" t="n"/>
      <c r="D32" s="16" t="n"/>
      <c r="E32" s="24" t="n"/>
      <c r="F32" s="13">
        <f>IF($B32="","",IF(COUNTIF(Katalog_Leistung,$B32)&gt;1,"! Bezeichnung doppelt",IF($A32="","! Kategorie fehlt",IF(ISNA(MATCH($A32,Kategorien,0)),"! Kategorie fehlt in Spalte I",IF(OR(AND($D32&lt;&gt;"",NOT(ISNUMBER($D32))),AND($E32&lt;&gt;"",NOT(ISNUMBER($E32)))),"! Preis oder Zeit ist keine Zahl","OK")))))</f>
        <v/>
      </c>
      <c r="H32" s="10" t="n"/>
      <c r="I32" s="10" t="n"/>
    </row>
    <row r="33">
      <c r="A33" s="10" t="n"/>
      <c r="B33" s="10" t="n"/>
      <c r="C33" s="10" t="n"/>
      <c r="D33" s="16" t="n"/>
      <c r="E33" s="24" t="n"/>
      <c r="F33" s="13">
        <f>IF($B33="","",IF(COUNTIF(Katalog_Leistung,$B33)&gt;1,"! Bezeichnung doppelt",IF($A33="","! Kategorie fehlt",IF(ISNA(MATCH($A33,Kategorien,0)),"! Kategorie fehlt in Spalte I",IF(OR(AND($D33&lt;&gt;"",NOT(ISNUMBER($D33))),AND($E33&lt;&gt;"",NOT(ISNUMBER($E33)))),"! Preis oder Zeit ist keine Zahl","OK")))))</f>
        <v/>
      </c>
      <c r="H33" s="10" t="n"/>
      <c r="I33" s="10" t="n"/>
    </row>
    <row r="34">
      <c r="A34" s="10" t="n"/>
      <c r="B34" s="10" t="n"/>
      <c r="C34" s="10" t="n"/>
      <c r="D34" s="16" t="n"/>
      <c r="E34" s="24" t="n"/>
      <c r="F34" s="13">
        <f>IF($B34="","",IF(COUNTIF(Katalog_Leistung,$B34)&gt;1,"! Bezeichnung doppelt",IF($A34="","! Kategorie fehlt",IF(ISNA(MATCH($A34,Kategorien,0)),"! Kategorie fehlt in Spalte I",IF(OR(AND($D34&lt;&gt;"",NOT(ISNUMBER($D34))),AND($E34&lt;&gt;"",NOT(ISNUMBER($E34)))),"! Preis oder Zeit ist keine Zahl","OK")))))</f>
        <v/>
      </c>
      <c r="H34" s="10" t="n"/>
      <c r="I34" s="10" t="n"/>
    </row>
    <row r="35">
      <c r="A35" s="10" t="n"/>
      <c r="B35" s="10" t="n"/>
      <c r="C35" s="10" t="n"/>
      <c r="D35" s="16" t="n"/>
      <c r="E35" s="24" t="n"/>
      <c r="F35" s="13">
        <f>IF($B35="","",IF(COUNTIF(Katalog_Leistung,$B35)&gt;1,"! Bezeichnung doppelt",IF($A35="","! Kategorie fehlt",IF(ISNA(MATCH($A35,Kategorien,0)),"! Kategorie fehlt in Spalte I",IF(OR(AND($D35&lt;&gt;"",NOT(ISNUMBER($D35))),AND($E35&lt;&gt;"",NOT(ISNUMBER($E35)))),"! Preis oder Zeit ist keine Zahl","OK")))))</f>
        <v/>
      </c>
      <c r="H35" s="10" t="n"/>
      <c r="I35" s="10" t="n"/>
    </row>
    <row r="36">
      <c r="A36" s="10" t="n"/>
      <c r="B36" s="10" t="n"/>
      <c r="C36" s="10" t="n"/>
      <c r="D36" s="16" t="n"/>
      <c r="E36" s="24" t="n"/>
      <c r="F36" s="13">
        <f>IF($B36="","",IF(COUNTIF(Katalog_Leistung,$B36)&gt;1,"! Bezeichnung doppelt",IF($A36="","! Kategorie fehlt",IF(ISNA(MATCH($A36,Kategorien,0)),"! Kategorie fehlt in Spalte I",IF(OR(AND($D36&lt;&gt;"",NOT(ISNUMBER($D36))),AND($E36&lt;&gt;"",NOT(ISNUMBER($E36)))),"! Preis oder Zeit ist keine Zahl","OK")))))</f>
        <v/>
      </c>
      <c r="H36" s="10" t="n"/>
      <c r="I36" s="10" t="n"/>
    </row>
    <row r="37">
      <c r="A37" s="10" t="n"/>
      <c r="B37" s="10" t="n"/>
      <c r="C37" s="10" t="n"/>
      <c r="D37" s="16" t="n"/>
      <c r="E37" s="24" t="n"/>
      <c r="F37" s="13">
        <f>IF($B37="","",IF(COUNTIF(Katalog_Leistung,$B37)&gt;1,"! Bezeichnung doppelt",IF($A37="","! Kategorie fehlt",IF(ISNA(MATCH($A37,Kategorien,0)),"! Kategorie fehlt in Spalte I",IF(OR(AND($D37&lt;&gt;"",NOT(ISNUMBER($D37))),AND($E37&lt;&gt;"",NOT(ISNUMBER($E37)))),"! Preis oder Zeit ist keine Zahl","OK")))))</f>
        <v/>
      </c>
      <c r="H37" s="10" t="n"/>
      <c r="I37" s="10" t="n"/>
    </row>
    <row r="38">
      <c r="A38" s="10" t="n"/>
      <c r="B38" s="10" t="n"/>
      <c r="C38" s="10" t="n"/>
      <c r="D38" s="16" t="n"/>
      <c r="E38" s="24" t="n"/>
      <c r="F38" s="13">
        <f>IF($B38="","",IF(COUNTIF(Katalog_Leistung,$B38)&gt;1,"! Bezeichnung doppelt",IF($A38="","! Kategorie fehlt",IF(ISNA(MATCH($A38,Kategorien,0)),"! Kategorie fehlt in Spalte I",IF(OR(AND($D38&lt;&gt;"",NOT(ISNUMBER($D38))),AND($E38&lt;&gt;"",NOT(ISNUMBER($E38)))),"! Preis oder Zeit ist keine Zahl","OK")))))</f>
        <v/>
      </c>
      <c r="H38" s="10" t="n"/>
      <c r="I38" s="10" t="n"/>
    </row>
    <row r="39">
      <c r="A39" s="10" t="n"/>
      <c r="B39" s="10" t="n"/>
      <c r="C39" s="10" t="n"/>
      <c r="D39" s="16" t="n"/>
      <c r="E39" s="24" t="n"/>
      <c r="F39" s="13">
        <f>IF($B39="","",IF(COUNTIF(Katalog_Leistung,$B39)&gt;1,"! Bezeichnung doppelt",IF($A39="","! Kategorie fehlt",IF(ISNA(MATCH($A39,Kategorien,0)),"! Kategorie fehlt in Spalte I",IF(OR(AND($D39&lt;&gt;"",NOT(ISNUMBER($D39))),AND($E39&lt;&gt;"",NOT(ISNUMBER($E39)))),"! Preis oder Zeit ist keine Zahl","OK")))))</f>
        <v/>
      </c>
      <c r="H39" s="10" t="n"/>
      <c r="I39" s="10" t="n"/>
    </row>
    <row r="40">
      <c r="A40" s="10" t="n"/>
      <c r="B40" s="10" t="n"/>
      <c r="C40" s="10" t="n"/>
      <c r="D40" s="16" t="n"/>
      <c r="E40" s="24" t="n"/>
      <c r="F40" s="13">
        <f>IF($B40="","",IF(COUNTIF(Katalog_Leistung,$B40)&gt;1,"! Bezeichnung doppelt",IF($A40="","! Kategorie fehlt",IF(ISNA(MATCH($A40,Kategorien,0)),"! Kategorie fehlt in Spalte I",IF(OR(AND($D40&lt;&gt;"",NOT(ISNUMBER($D40))),AND($E40&lt;&gt;"",NOT(ISNUMBER($E40)))),"! Preis oder Zeit ist keine Zahl","OK")))))</f>
        <v/>
      </c>
      <c r="H40" s="10" t="n"/>
      <c r="I40" s="10" t="n"/>
    </row>
    <row r="41">
      <c r="A41" s="10" t="n"/>
      <c r="B41" s="10" t="n"/>
      <c r="C41" s="10" t="n"/>
      <c r="D41" s="16" t="n"/>
      <c r="E41" s="24" t="n"/>
      <c r="F41" s="13">
        <f>IF($B41="","",IF(COUNTIF(Katalog_Leistung,$B41)&gt;1,"! Bezeichnung doppelt",IF($A41="","! Kategorie fehlt",IF(ISNA(MATCH($A41,Kategorien,0)),"! Kategorie fehlt in Spalte I",IF(OR(AND($D41&lt;&gt;"",NOT(ISNUMBER($D41))),AND($E41&lt;&gt;"",NOT(ISNUMBER($E41)))),"! Preis oder Zeit ist keine Zahl","OK")))))</f>
        <v/>
      </c>
      <c r="H41" s="10" t="n"/>
      <c r="I41" s="10" t="n"/>
    </row>
    <row r="42">
      <c r="A42" s="10" t="n"/>
      <c r="B42" s="10" t="n"/>
      <c r="C42" s="10" t="n"/>
      <c r="D42" s="16" t="n"/>
      <c r="E42" s="24" t="n"/>
      <c r="F42" s="13">
        <f>IF($B42="","",IF(COUNTIF(Katalog_Leistung,$B42)&gt;1,"! Bezeichnung doppelt",IF($A42="","! Kategorie fehlt",IF(ISNA(MATCH($A42,Kategorien,0)),"! Kategorie fehlt in Spalte I",IF(OR(AND($D42&lt;&gt;"",NOT(ISNUMBER($D42))),AND($E42&lt;&gt;"",NOT(ISNUMBER($E42)))),"! Preis oder Zeit ist keine Zahl","OK")))))</f>
        <v/>
      </c>
      <c r="H42" s="10" t="n"/>
      <c r="I42" s="10" t="n"/>
    </row>
    <row r="43">
      <c r="A43" s="10" t="n"/>
      <c r="B43" s="10" t="n"/>
      <c r="C43" s="10" t="n"/>
      <c r="D43" s="16" t="n"/>
      <c r="E43" s="24" t="n"/>
      <c r="F43" s="13">
        <f>IF($B43="","",IF(COUNTIF(Katalog_Leistung,$B43)&gt;1,"! Bezeichnung doppelt",IF($A43="","! Kategorie fehlt",IF(ISNA(MATCH($A43,Kategorien,0)),"! Kategorie fehlt in Spalte I",IF(OR(AND($D43&lt;&gt;"",NOT(ISNUMBER($D43))),AND($E43&lt;&gt;"",NOT(ISNUMBER($E43)))),"! Preis oder Zeit ist keine Zahl","OK")))))</f>
        <v/>
      </c>
      <c r="H43" s="10" t="n"/>
      <c r="I43" s="10" t="n"/>
    </row>
    <row r="44">
      <c r="A44" s="10" t="n"/>
      <c r="B44" s="10" t="n"/>
      <c r="C44" s="10" t="n"/>
      <c r="D44" s="16" t="n"/>
      <c r="E44" s="24" t="n"/>
      <c r="F44" s="13">
        <f>IF($B44="","",IF(COUNTIF(Katalog_Leistung,$B44)&gt;1,"! Bezeichnung doppelt",IF($A44="","! Kategorie fehlt",IF(ISNA(MATCH($A44,Kategorien,0)),"! Kategorie fehlt in Spalte I",IF(OR(AND($D44&lt;&gt;"",NOT(ISNUMBER($D44))),AND($E44&lt;&gt;"",NOT(ISNUMBER($E44)))),"! Preis oder Zeit ist keine Zahl","OK")))))</f>
        <v/>
      </c>
      <c r="H44" s="10" t="n"/>
      <c r="I44" s="10" t="n"/>
    </row>
    <row r="45">
      <c r="A45" s="10" t="n"/>
      <c r="B45" s="10" t="n"/>
      <c r="C45" s="10" t="n"/>
      <c r="D45" s="16" t="n"/>
      <c r="E45" s="24" t="n"/>
      <c r="F45" s="13">
        <f>IF($B45="","",IF(COUNTIF(Katalog_Leistung,$B45)&gt;1,"! Bezeichnung doppelt",IF($A45="","! Kategorie fehlt",IF(ISNA(MATCH($A45,Kategorien,0)),"! Kategorie fehlt in Spalte I",IF(OR(AND($D45&lt;&gt;"",NOT(ISNUMBER($D45))),AND($E45&lt;&gt;"",NOT(ISNUMBER($E45)))),"! Preis oder Zeit ist keine Zahl","OK")))))</f>
        <v/>
      </c>
      <c r="H45" s="10" t="n"/>
      <c r="I45" s="10" t="n"/>
    </row>
    <row r="46">
      <c r="A46" s="10" t="n"/>
      <c r="B46" s="10" t="n"/>
      <c r="C46" s="10" t="n"/>
      <c r="D46" s="16" t="n"/>
      <c r="E46" s="24" t="n"/>
      <c r="F46" s="13">
        <f>IF($B46="","",IF(COUNTIF(Katalog_Leistung,$B46)&gt;1,"! Bezeichnung doppelt",IF($A46="","! Kategorie fehlt",IF(ISNA(MATCH($A46,Kategorien,0)),"! Kategorie fehlt in Spalte I",IF(OR(AND($D46&lt;&gt;"",NOT(ISNUMBER($D46))),AND($E46&lt;&gt;"",NOT(ISNUMBER($E46)))),"! Preis oder Zeit ist keine Zahl","OK")))))</f>
        <v/>
      </c>
      <c r="H46" s="10" t="n"/>
      <c r="I46" s="10" t="n"/>
    </row>
    <row r="47">
      <c r="A47" s="10" t="n"/>
      <c r="B47" s="10" t="n"/>
      <c r="C47" s="10" t="n"/>
      <c r="D47" s="16" t="n"/>
      <c r="E47" s="24" t="n"/>
      <c r="F47" s="13">
        <f>IF($B47="","",IF(COUNTIF(Katalog_Leistung,$B47)&gt;1,"! Bezeichnung doppelt",IF($A47="","! Kategorie fehlt",IF(ISNA(MATCH($A47,Kategorien,0)),"! Kategorie fehlt in Spalte I",IF(OR(AND($D47&lt;&gt;"",NOT(ISNUMBER($D47))),AND($E47&lt;&gt;"",NOT(ISNUMBER($E47)))),"! Preis oder Zeit ist keine Zahl","OK")))))</f>
        <v/>
      </c>
      <c r="H47" s="10" t="n"/>
      <c r="I47" s="10" t="n"/>
    </row>
    <row r="48">
      <c r="A48" s="10" t="n"/>
      <c r="B48" s="10" t="n"/>
      <c r="C48" s="10" t="n"/>
      <c r="D48" s="16" t="n"/>
      <c r="E48" s="24" t="n"/>
      <c r="F48" s="13">
        <f>IF($B48="","",IF(COUNTIF(Katalog_Leistung,$B48)&gt;1,"! Bezeichnung doppelt",IF($A48="","! Kategorie fehlt",IF(ISNA(MATCH($A48,Kategorien,0)),"! Kategorie fehlt in Spalte I",IF(OR(AND($D48&lt;&gt;"",NOT(ISNUMBER($D48))),AND($E48&lt;&gt;"",NOT(ISNUMBER($E48)))),"! Preis oder Zeit ist keine Zahl","OK")))))</f>
        <v/>
      </c>
      <c r="H48" s="10" t="n"/>
      <c r="I48" s="10" t="n"/>
    </row>
    <row r="49">
      <c r="A49" s="10" t="n"/>
      <c r="B49" s="10" t="n"/>
      <c r="C49" s="10" t="n"/>
      <c r="D49" s="16" t="n"/>
      <c r="E49" s="24" t="n"/>
      <c r="F49" s="13">
        <f>IF($B49="","",IF(COUNTIF(Katalog_Leistung,$B49)&gt;1,"! Bezeichnung doppelt",IF($A49="","! Kategorie fehlt",IF(ISNA(MATCH($A49,Kategorien,0)),"! Kategorie fehlt in Spalte I",IF(OR(AND($D49&lt;&gt;"",NOT(ISNUMBER($D49))),AND($E49&lt;&gt;"",NOT(ISNUMBER($E49)))),"! Preis oder Zeit ist keine Zahl","OK")))))</f>
        <v/>
      </c>
      <c r="H49" s="10" t="n"/>
      <c r="I49" s="10" t="n"/>
    </row>
    <row r="50">
      <c r="A50" s="10" t="n"/>
      <c r="B50" s="10" t="n"/>
      <c r="C50" s="10" t="n"/>
      <c r="D50" s="16" t="n"/>
      <c r="E50" s="24" t="n"/>
      <c r="F50" s="13">
        <f>IF($B50="","",IF(COUNTIF(Katalog_Leistung,$B50)&gt;1,"! Bezeichnung doppelt",IF($A50="","! Kategorie fehlt",IF(ISNA(MATCH($A50,Kategorien,0)),"! Kategorie fehlt in Spalte I",IF(OR(AND($D50&lt;&gt;"",NOT(ISNUMBER($D50))),AND($E50&lt;&gt;"",NOT(ISNUMBER($E50)))),"! Preis oder Zeit ist keine Zahl","OK")))))</f>
        <v/>
      </c>
      <c r="H50" s="10" t="n"/>
      <c r="I50" s="10" t="n"/>
    </row>
    <row r="51">
      <c r="A51" s="10" t="n"/>
      <c r="B51" s="10" t="n"/>
      <c r="C51" s="10" t="n"/>
      <c r="D51" s="16" t="n"/>
      <c r="E51" s="24" t="n"/>
      <c r="F51" s="13">
        <f>IF($B51="","",IF(COUNTIF(Katalog_Leistung,$B51)&gt;1,"! Bezeichnung doppelt",IF($A51="","! Kategorie fehlt",IF(ISNA(MATCH($A51,Kategorien,0)),"! Kategorie fehlt in Spalte I",IF(OR(AND($D51&lt;&gt;"",NOT(ISNUMBER($D51))),AND($E51&lt;&gt;"",NOT(ISNUMBER($E51)))),"! Preis oder Zeit ist keine Zahl","OK")))))</f>
        <v/>
      </c>
      <c r="H51" s="10" t="n"/>
      <c r="I51" s="10" t="n"/>
    </row>
    <row r="52">
      <c r="A52" s="10" t="n"/>
      <c r="B52" s="10" t="n"/>
      <c r="C52" s="10" t="n"/>
      <c r="D52" s="16" t="n"/>
      <c r="E52" s="24" t="n"/>
      <c r="F52" s="13">
        <f>IF($B52="","",IF(COUNTIF(Katalog_Leistung,$B52)&gt;1,"! Bezeichnung doppelt",IF($A52="","! Kategorie fehlt",IF(ISNA(MATCH($A52,Kategorien,0)),"! Kategorie fehlt in Spalte I",IF(OR(AND($D52&lt;&gt;"",NOT(ISNUMBER($D52))),AND($E52&lt;&gt;"",NOT(ISNUMBER($E52)))),"! Preis oder Zeit ist keine Zahl","OK")))))</f>
        <v/>
      </c>
      <c r="H52" s="10" t="n"/>
      <c r="I52" s="10" t="n"/>
    </row>
    <row r="53">
      <c r="A53" s="10" t="n"/>
      <c r="B53" s="10" t="n"/>
      <c r="C53" s="10" t="n"/>
      <c r="D53" s="16" t="n"/>
      <c r="E53" s="24" t="n"/>
      <c r="F53" s="13">
        <f>IF($B53="","",IF(COUNTIF(Katalog_Leistung,$B53)&gt;1,"! Bezeichnung doppelt",IF($A53="","! Kategorie fehlt",IF(ISNA(MATCH($A53,Kategorien,0)),"! Kategorie fehlt in Spalte I",IF(OR(AND($D53&lt;&gt;"",NOT(ISNUMBER($D53))),AND($E53&lt;&gt;"",NOT(ISNUMBER($E53)))),"! Preis oder Zeit ist keine Zahl","OK")))))</f>
        <v/>
      </c>
      <c r="H53" s="10" t="n"/>
      <c r="I53" s="10" t="n"/>
    </row>
    <row r="54">
      <c r="A54" s="10" t="n"/>
      <c r="B54" s="10" t="n"/>
      <c r="C54" s="10" t="n"/>
      <c r="D54" s="16" t="n"/>
      <c r="E54" s="24" t="n"/>
      <c r="F54" s="13">
        <f>IF($B54="","",IF(COUNTIF(Katalog_Leistung,$B54)&gt;1,"! Bezeichnung doppelt",IF($A54="","! Kategorie fehlt",IF(ISNA(MATCH($A54,Kategorien,0)),"! Kategorie fehlt in Spalte I",IF(OR(AND($D54&lt;&gt;"",NOT(ISNUMBER($D54))),AND($E54&lt;&gt;"",NOT(ISNUMBER($E54)))),"! Preis oder Zeit ist keine Zahl","OK")))))</f>
        <v/>
      </c>
      <c r="H54" s="10" t="n"/>
      <c r="I54" s="10" t="n"/>
    </row>
    <row r="55">
      <c r="A55" s="10" t="n"/>
      <c r="B55" s="10" t="n"/>
      <c r="C55" s="10" t="n"/>
      <c r="D55" s="16" t="n"/>
      <c r="E55" s="24" t="n"/>
      <c r="F55" s="13">
        <f>IF($B55="","",IF(COUNTIF(Katalog_Leistung,$B55)&gt;1,"! Bezeichnung doppelt",IF($A55="","! Kategorie fehlt",IF(ISNA(MATCH($A55,Kategorien,0)),"! Kategorie fehlt in Spalte I",IF(OR(AND($D55&lt;&gt;"",NOT(ISNUMBER($D55))),AND($E55&lt;&gt;"",NOT(ISNUMBER($E55)))),"! Preis oder Zeit ist keine Zahl","OK")))))</f>
        <v/>
      </c>
      <c r="H55" s="10" t="n"/>
      <c r="I55" s="10" t="n"/>
    </row>
    <row r="56">
      <c r="A56" s="10" t="n"/>
      <c r="B56" s="10" t="n"/>
      <c r="C56" s="10" t="n"/>
      <c r="D56" s="16" t="n"/>
      <c r="E56" s="24" t="n"/>
      <c r="F56" s="13">
        <f>IF($B56="","",IF(COUNTIF(Katalog_Leistung,$B56)&gt;1,"! Bezeichnung doppelt",IF($A56="","! Kategorie fehlt",IF(ISNA(MATCH($A56,Kategorien,0)),"! Kategorie fehlt in Spalte I",IF(OR(AND($D56&lt;&gt;"",NOT(ISNUMBER($D56))),AND($E56&lt;&gt;"",NOT(ISNUMBER($E56)))),"! Preis oder Zeit ist keine Zahl","OK")))))</f>
        <v/>
      </c>
      <c r="H56" s="10" t="n"/>
      <c r="I56" s="10" t="n"/>
    </row>
    <row r="57">
      <c r="A57" s="10" t="n"/>
      <c r="B57" s="10" t="n"/>
      <c r="C57" s="10" t="n"/>
      <c r="D57" s="16" t="n"/>
      <c r="E57" s="24" t="n"/>
      <c r="F57" s="13">
        <f>IF($B57="","",IF(COUNTIF(Katalog_Leistung,$B57)&gt;1,"! Bezeichnung doppelt",IF($A57="","! Kategorie fehlt",IF(ISNA(MATCH($A57,Kategorien,0)),"! Kategorie fehlt in Spalte I",IF(OR(AND($D57&lt;&gt;"",NOT(ISNUMBER($D57))),AND($E57&lt;&gt;"",NOT(ISNUMBER($E57)))),"! Preis oder Zeit ist keine Zahl","OK")))))</f>
        <v/>
      </c>
      <c r="H57" s="10" t="n"/>
      <c r="I57" s="10" t="n"/>
    </row>
    <row r="58">
      <c r="A58" s="10" t="n"/>
      <c r="B58" s="10" t="n"/>
      <c r="C58" s="10" t="n"/>
      <c r="D58" s="16" t="n"/>
      <c r="E58" s="24" t="n"/>
      <c r="F58" s="13">
        <f>IF($B58="","",IF(COUNTIF(Katalog_Leistung,$B58)&gt;1,"! Bezeichnung doppelt",IF($A58="","! Kategorie fehlt",IF(ISNA(MATCH($A58,Kategorien,0)),"! Kategorie fehlt in Spalte I",IF(OR(AND($D58&lt;&gt;"",NOT(ISNUMBER($D58))),AND($E58&lt;&gt;"",NOT(ISNUMBER($E58)))),"! Preis oder Zeit ist keine Zahl","OK")))))</f>
        <v/>
      </c>
      <c r="H58" s="10" t="n"/>
      <c r="I58" s="10" t="n"/>
    </row>
    <row r="59">
      <c r="A59" s="10" t="n"/>
      <c r="B59" s="10" t="n"/>
      <c r="C59" s="10" t="n"/>
      <c r="D59" s="16" t="n"/>
      <c r="E59" s="24" t="n"/>
      <c r="F59" s="13">
        <f>IF($B59="","",IF(COUNTIF(Katalog_Leistung,$B59)&gt;1,"! Bezeichnung doppelt",IF($A59="","! Kategorie fehlt",IF(ISNA(MATCH($A59,Kategorien,0)),"! Kategorie fehlt in Spalte I",IF(OR(AND($D59&lt;&gt;"",NOT(ISNUMBER($D59))),AND($E59&lt;&gt;"",NOT(ISNUMBER($E59)))),"! Preis oder Zeit ist keine Zahl","OK")))))</f>
        <v/>
      </c>
      <c r="H59" s="10" t="n"/>
      <c r="I59" s="10" t="n"/>
    </row>
    <row r="60">
      <c r="A60" s="10" t="n"/>
      <c r="B60" s="10" t="n"/>
      <c r="C60" s="10" t="n"/>
      <c r="D60" s="16" t="n"/>
      <c r="E60" s="24" t="n"/>
      <c r="F60" s="13">
        <f>IF($B60="","",IF(COUNTIF(Katalog_Leistung,$B60)&gt;1,"! Bezeichnung doppelt",IF($A60="","! Kategorie fehlt",IF(ISNA(MATCH($A60,Kategorien,0)),"! Kategorie fehlt in Spalte I",IF(OR(AND($D60&lt;&gt;"",NOT(ISNUMBER($D60))),AND($E60&lt;&gt;"",NOT(ISNUMBER($E60)))),"! Preis oder Zeit ist keine Zahl","OK")))))</f>
        <v/>
      </c>
      <c r="H60" s="10" t="n"/>
      <c r="I60" s="10" t="n"/>
    </row>
    <row r="61">
      <c r="A61" s="10" t="n"/>
      <c r="B61" s="10" t="n"/>
      <c r="C61" s="10" t="n"/>
      <c r="D61" s="16" t="n"/>
      <c r="E61" s="24" t="n"/>
      <c r="F61" s="13">
        <f>IF($B61="","",IF(COUNTIF(Katalog_Leistung,$B61)&gt;1,"! Bezeichnung doppelt",IF($A61="","! Kategorie fehlt",IF(ISNA(MATCH($A61,Kategorien,0)),"! Kategorie fehlt in Spalte I",IF(OR(AND($D61&lt;&gt;"",NOT(ISNUMBER($D61))),AND($E61&lt;&gt;"",NOT(ISNUMBER($E61)))),"! Preis oder Zeit ist keine Zahl","OK")))))</f>
        <v/>
      </c>
      <c r="H61" s="10" t="n"/>
      <c r="I61" s="10" t="n"/>
    </row>
    <row r="62">
      <c r="A62" s="10" t="n"/>
      <c r="B62" s="10" t="n"/>
      <c r="C62" s="10" t="n"/>
      <c r="D62" s="16" t="n"/>
      <c r="E62" s="24" t="n"/>
      <c r="F62" s="13">
        <f>IF($B62="","",IF(COUNTIF(Katalog_Leistung,$B62)&gt;1,"! Bezeichnung doppelt",IF($A62="","! Kategorie fehlt",IF(ISNA(MATCH($A62,Kategorien,0)),"! Kategorie fehlt in Spalte I",IF(OR(AND($D62&lt;&gt;"",NOT(ISNUMBER($D62))),AND($E62&lt;&gt;"",NOT(ISNUMBER($E62)))),"! Preis oder Zeit ist keine Zahl","OK")))))</f>
        <v/>
      </c>
      <c r="H62" s="10" t="n"/>
      <c r="I62" s="10" t="n"/>
    </row>
    <row r="63">
      <c r="A63" s="10" t="n"/>
      <c r="B63" s="10" t="n"/>
      <c r="C63" s="10" t="n"/>
      <c r="D63" s="16" t="n"/>
      <c r="E63" s="24" t="n"/>
      <c r="F63" s="13">
        <f>IF($B63="","",IF(COUNTIF(Katalog_Leistung,$B63)&gt;1,"! Bezeichnung doppelt",IF($A63="","! Kategorie fehlt",IF(ISNA(MATCH($A63,Kategorien,0)),"! Kategorie fehlt in Spalte I",IF(OR(AND($D63&lt;&gt;"",NOT(ISNUMBER($D63))),AND($E63&lt;&gt;"",NOT(ISNUMBER($E63)))),"! Preis oder Zeit ist keine Zahl","OK")))))</f>
        <v/>
      </c>
      <c r="H63" s="10" t="n"/>
      <c r="I63" s="10" t="n"/>
    </row>
    <row r="64">
      <c r="A64" s="10" t="n"/>
      <c r="B64" s="10" t="n"/>
      <c r="C64" s="10" t="n"/>
      <c r="D64" s="16" t="n"/>
      <c r="E64" s="24" t="n"/>
      <c r="F64" s="13">
        <f>IF($B64="","",IF(COUNTIF(Katalog_Leistung,$B64)&gt;1,"! Bezeichnung doppelt",IF($A64="","! Kategorie fehlt",IF(ISNA(MATCH($A64,Kategorien,0)),"! Kategorie fehlt in Spalte I",IF(OR(AND($D64&lt;&gt;"",NOT(ISNUMBER($D64))),AND($E64&lt;&gt;"",NOT(ISNUMBER($E64)))),"! Preis oder Zeit ist keine Zahl","OK")))))</f>
        <v/>
      </c>
      <c r="H64" s="10" t="n"/>
      <c r="I64" s="10" t="n"/>
    </row>
    <row r="65">
      <c r="A65" s="10" t="n"/>
      <c r="B65" s="10" t="n"/>
      <c r="C65" s="10" t="n"/>
      <c r="D65" s="16" t="n"/>
      <c r="E65" s="24" t="n"/>
      <c r="F65" s="13">
        <f>IF($B65="","",IF(COUNTIF(Katalog_Leistung,$B65)&gt;1,"! Bezeichnung doppelt",IF($A65="","! Kategorie fehlt",IF(ISNA(MATCH($A65,Kategorien,0)),"! Kategorie fehlt in Spalte I",IF(OR(AND($D65&lt;&gt;"",NOT(ISNUMBER($D65))),AND($E65&lt;&gt;"",NOT(ISNUMBER($E65)))),"! Preis oder Zeit ist keine Zahl","OK")))))</f>
        <v/>
      </c>
      <c r="H65" s="10" t="n"/>
      <c r="I65" s="10" t="n"/>
    </row>
    <row r="66">
      <c r="A66" s="10" t="n"/>
      <c r="B66" s="10" t="n"/>
      <c r="C66" s="10" t="n"/>
      <c r="D66" s="16" t="n"/>
      <c r="E66" s="24" t="n"/>
      <c r="F66" s="13">
        <f>IF($B66="","",IF(COUNTIF(Katalog_Leistung,$B66)&gt;1,"! Bezeichnung doppelt",IF($A66="","! Kategorie fehlt",IF(ISNA(MATCH($A66,Kategorien,0)),"! Kategorie fehlt in Spalte I",IF(OR(AND($D66&lt;&gt;"",NOT(ISNUMBER($D66))),AND($E66&lt;&gt;"",NOT(ISNUMBER($E66)))),"! Preis oder Zeit ist keine Zahl","OK")))))</f>
        <v/>
      </c>
      <c r="H66" s="10" t="n"/>
      <c r="I66" s="10" t="n"/>
    </row>
    <row r="67">
      <c r="A67" s="10" t="n"/>
      <c r="B67" s="10" t="n"/>
      <c r="C67" s="10" t="n"/>
      <c r="D67" s="16" t="n"/>
      <c r="E67" s="24" t="n"/>
      <c r="F67" s="13">
        <f>IF($B67="","",IF(COUNTIF(Katalog_Leistung,$B67)&gt;1,"! Bezeichnung doppelt",IF($A67="","! Kategorie fehlt",IF(ISNA(MATCH($A67,Kategorien,0)),"! Kategorie fehlt in Spalte I",IF(OR(AND($D67&lt;&gt;"",NOT(ISNUMBER($D67))),AND($E67&lt;&gt;"",NOT(ISNUMBER($E67)))),"! Preis oder Zeit ist keine Zahl","OK")))))</f>
        <v/>
      </c>
      <c r="H67" s="10" t="n"/>
      <c r="I67" s="10" t="n"/>
    </row>
    <row r="68">
      <c r="A68" s="10" t="n"/>
      <c r="B68" s="10" t="n"/>
      <c r="C68" s="10" t="n"/>
      <c r="D68" s="16" t="n"/>
      <c r="E68" s="24" t="n"/>
      <c r="F68" s="13">
        <f>IF($B68="","",IF(COUNTIF(Katalog_Leistung,$B68)&gt;1,"! Bezeichnung doppelt",IF($A68="","! Kategorie fehlt",IF(ISNA(MATCH($A68,Kategorien,0)),"! Kategorie fehlt in Spalte I",IF(OR(AND($D68&lt;&gt;"",NOT(ISNUMBER($D68))),AND($E68&lt;&gt;"",NOT(ISNUMBER($E68)))),"! Preis oder Zeit ist keine Zahl","OK")))))</f>
        <v/>
      </c>
      <c r="H68" s="10" t="n"/>
      <c r="I68" s="10" t="n"/>
    </row>
    <row r="69">
      <c r="A69" s="10" t="n"/>
      <c r="B69" s="10" t="n"/>
      <c r="C69" s="10" t="n"/>
      <c r="D69" s="16" t="n"/>
      <c r="E69" s="24" t="n"/>
      <c r="F69" s="13">
        <f>IF($B69="","",IF(COUNTIF(Katalog_Leistung,$B69)&gt;1,"! Bezeichnung doppelt",IF($A69="","! Kategorie fehlt",IF(ISNA(MATCH($A69,Kategorien,0)),"! Kategorie fehlt in Spalte I",IF(OR(AND($D69&lt;&gt;"",NOT(ISNUMBER($D69))),AND($E69&lt;&gt;"",NOT(ISNUMBER($E69)))),"! Preis oder Zeit ist keine Zahl","OK")))))</f>
        <v/>
      </c>
      <c r="H69" s="10" t="n"/>
      <c r="I69" s="10" t="n"/>
    </row>
    <row r="70">
      <c r="A70" s="10" t="n"/>
      <c r="B70" s="10" t="n"/>
      <c r="C70" s="10" t="n"/>
      <c r="D70" s="16" t="n"/>
      <c r="E70" s="24" t="n"/>
      <c r="F70" s="13">
        <f>IF($B70="","",IF(COUNTIF(Katalog_Leistung,$B70)&gt;1,"! Bezeichnung doppelt",IF($A70="","! Kategorie fehlt",IF(ISNA(MATCH($A70,Kategorien,0)),"! Kategorie fehlt in Spalte I",IF(OR(AND($D70&lt;&gt;"",NOT(ISNUMBER($D70))),AND($E70&lt;&gt;"",NOT(ISNUMBER($E70)))),"! Preis oder Zeit ist keine Zahl","OK")))))</f>
        <v/>
      </c>
      <c r="H70" s="10" t="n"/>
      <c r="I70" s="10" t="n"/>
    </row>
    <row r="71">
      <c r="A71" s="10" t="n"/>
      <c r="B71" s="10" t="n"/>
      <c r="C71" s="10" t="n"/>
      <c r="D71" s="16" t="n"/>
      <c r="E71" s="24" t="n"/>
      <c r="F71" s="13">
        <f>IF($B71="","",IF(COUNTIF(Katalog_Leistung,$B71)&gt;1,"! Bezeichnung doppelt",IF($A71="","! Kategorie fehlt",IF(ISNA(MATCH($A71,Kategorien,0)),"! Kategorie fehlt in Spalte I",IF(OR(AND($D71&lt;&gt;"",NOT(ISNUMBER($D71))),AND($E71&lt;&gt;"",NOT(ISNUMBER($E71)))),"! Preis oder Zeit ist keine Zahl","OK")))))</f>
        <v/>
      </c>
      <c r="H71" s="10" t="n"/>
      <c r="I71" s="10" t="n"/>
    </row>
    <row r="72">
      <c r="A72" s="10" t="n"/>
      <c r="B72" s="10" t="n"/>
      <c r="C72" s="10" t="n"/>
      <c r="D72" s="16" t="n"/>
      <c r="E72" s="24" t="n"/>
      <c r="F72" s="13">
        <f>IF($B72="","",IF(COUNTIF(Katalog_Leistung,$B72)&gt;1,"! Bezeichnung doppelt",IF($A72="","! Kategorie fehlt",IF(ISNA(MATCH($A72,Kategorien,0)),"! Kategorie fehlt in Spalte I",IF(OR(AND($D72&lt;&gt;"",NOT(ISNUMBER($D72))),AND($E72&lt;&gt;"",NOT(ISNUMBER($E72)))),"! Preis oder Zeit ist keine Zahl","OK")))))</f>
        <v/>
      </c>
      <c r="H72" s="10" t="n"/>
      <c r="I72" s="10" t="n"/>
    </row>
    <row r="73">
      <c r="A73" s="10" t="n"/>
      <c r="B73" s="10" t="n"/>
      <c r="C73" s="10" t="n"/>
      <c r="D73" s="16" t="n"/>
      <c r="E73" s="24" t="n"/>
      <c r="F73" s="13">
        <f>IF($B73="","",IF(COUNTIF(Katalog_Leistung,$B73)&gt;1,"! Bezeichnung doppelt",IF($A73="","! Kategorie fehlt",IF(ISNA(MATCH($A73,Kategorien,0)),"! Kategorie fehlt in Spalte I",IF(OR(AND($D73&lt;&gt;"",NOT(ISNUMBER($D73))),AND($E73&lt;&gt;"",NOT(ISNUMBER($E73)))),"! Preis oder Zeit ist keine Zahl","OK")))))</f>
        <v/>
      </c>
      <c r="H73" s="10" t="n"/>
      <c r="I73" s="10" t="n"/>
    </row>
    <row r="74">
      <c r="A74" s="10" t="n"/>
      <c r="B74" s="10" t="n"/>
      <c r="C74" s="10" t="n"/>
      <c r="D74" s="16" t="n"/>
      <c r="E74" s="24" t="n"/>
      <c r="F74" s="13">
        <f>IF($B74="","",IF(COUNTIF(Katalog_Leistung,$B74)&gt;1,"! Bezeichnung doppelt",IF($A74="","! Kategorie fehlt",IF(ISNA(MATCH($A74,Kategorien,0)),"! Kategorie fehlt in Spalte I",IF(OR(AND($D74&lt;&gt;"",NOT(ISNUMBER($D74))),AND($E74&lt;&gt;"",NOT(ISNUMBER($E74)))),"! Preis oder Zeit ist keine Zahl","OK")))))</f>
        <v/>
      </c>
      <c r="H74" s="10" t="n"/>
      <c r="I74" s="10" t="n"/>
    </row>
    <row r="75">
      <c r="A75" s="10" t="n"/>
      <c r="B75" s="10" t="n"/>
      <c r="C75" s="10" t="n"/>
      <c r="D75" s="16" t="n"/>
      <c r="E75" s="24" t="n"/>
      <c r="F75" s="13">
        <f>IF($B75="","",IF(COUNTIF(Katalog_Leistung,$B75)&gt;1,"! Bezeichnung doppelt",IF($A75="","! Kategorie fehlt",IF(ISNA(MATCH($A75,Kategorien,0)),"! Kategorie fehlt in Spalte I",IF(OR(AND($D75&lt;&gt;"",NOT(ISNUMBER($D75))),AND($E75&lt;&gt;"",NOT(ISNUMBER($E75)))),"! Preis oder Zeit ist keine Zahl","OK")))))</f>
        <v/>
      </c>
      <c r="H75" s="10" t="n"/>
      <c r="I75" s="10" t="n"/>
    </row>
    <row r="76">
      <c r="A76" s="10" t="n"/>
      <c r="B76" s="10" t="n"/>
      <c r="C76" s="10" t="n"/>
      <c r="D76" s="16" t="n"/>
      <c r="E76" s="24" t="n"/>
      <c r="F76" s="13">
        <f>IF($B76="","",IF(COUNTIF(Katalog_Leistung,$B76)&gt;1,"! Bezeichnung doppelt",IF($A76="","! Kategorie fehlt",IF(ISNA(MATCH($A76,Kategorien,0)),"! Kategorie fehlt in Spalte I",IF(OR(AND($D76&lt;&gt;"",NOT(ISNUMBER($D76))),AND($E76&lt;&gt;"",NOT(ISNUMBER($E76)))),"! Preis oder Zeit ist keine Zahl","OK")))))</f>
        <v/>
      </c>
      <c r="H76" s="10" t="n"/>
      <c r="I76" s="10" t="n"/>
    </row>
    <row r="77">
      <c r="A77" s="10" t="n"/>
      <c r="B77" s="10" t="n"/>
      <c r="C77" s="10" t="n"/>
      <c r="D77" s="16" t="n"/>
      <c r="E77" s="24" t="n"/>
      <c r="F77" s="13">
        <f>IF($B77="","",IF(COUNTIF(Katalog_Leistung,$B77)&gt;1,"! Bezeichnung doppelt",IF($A77="","! Kategorie fehlt",IF(ISNA(MATCH($A77,Kategorien,0)),"! Kategorie fehlt in Spalte I",IF(OR(AND($D77&lt;&gt;"",NOT(ISNUMBER($D77))),AND($E77&lt;&gt;"",NOT(ISNUMBER($E77)))),"! Preis oder Zeit ist keine Zahl","OK")))))</f>
        <v/>
      </c>
      <c r="H77" s="10" t="n"/>
      <c r="I77" s="10" t="n"/>
    </row>
    <row r="78">
      <c r="A78" s="10" t="n"/>
      <c r="B78" s="10" t="n"/>
      <c r="C78" s="10" t="n"/>
      <c r="D78" s="16" t="n"/>
      <c r="E78" s="24" t="n"/>
      <c r="F78" s="13">
        <f>IF($B78="","",IF(COUNTIF(Katalog_Leistung,$B78)&gt;1,"! Bezeichnung doppelt",IF($A78="","! Kategorie fehlt",IF(ISNA(MATCH($A78,Kategorien,0)),"! Kategorie fehlt in Spalte I",IF(OR(AND($D78&lt;&gt;"",NOT(ISNUMBER($D78))),AND($E78&lt;&gt;"",NOT(ISNUMBER($E78)))),"! Preis oder Zeit ist keine Zahl","OK")))))</f>
        <v/>
      </c>
      <c r="H78" s="10" t="n"/>
      <c r="I78" s="10" t="n"/>
    </row>
    <row r="79">
      <c r="A79" s="10" t="n"/>
      <c r="B79" s="10" t="n"/>
      <c r="C79" s="10" t="n"/>
      <c r="D79" s="16" t="n"/>
      <c r="E79" s="24" t="n"/>
      <c r="F79" s="13">
        <f>IF($B79="","",IF(COUNTIF(Katalog_Leistung,$B79)&gt;1,"! Bezeichnung doppelt",IF($A79="","! Kategorie fehlt",IF(ISNA(MATCH($A79,Kategorien,0)),"! Kategorie fehlt in Spalte I",IF(OR(AND($D79&lt;&gt;"",NOT(ISNUMBER($D79))),AND($E79&lt;&gt;"",NOT(ISNUMBER($E79)))),"! Preis oder Zeit ist keine Zahl","OK")))))</f>
        <v/>
      </c>
      <c r="H79" s="10" t="n"/>
      <c r="I79" s="10" t="n"/>
    </row>
    <row r="80">
      <c r="A80" s="10" t="n"/>
      <c r="B80" s="10" t="n"/>
      <c r="C80" s="10" t="n"/>
      <c r="D80" s="16" t="n"/>
      <c r="E80" s="24" t="n"/>
      <c r="F80" s="13">
        <f>IF($B80="","",IF(COUNTIF(Katalog_Leistung,$B80)&gt;1,"! Bezeichnung doppelt",IF($A80="","! Kategorie fehlt",IF(ISNA(MATCH($A80,Kategorien,0)),"! Kategorie fehlt in Spalte I",IF(OR(AND($D80&lt;&gt;"",NOT(ISNUMBER($D80))),AND($E80&lt;&gt;"",NOT(ISNUMBER($E80)))),"! Preis oder Zeit ist keine Zahl","OK")))))</f>
        <v/>
      </c>
      <c r="H80" s="10" t="n"/>
      <c r="I80" s="10" t="n"/>
    </row>
    <row r="81">
      <c r="A81" s="10" t="n"/>
      <c r="B81" s="10" t="n"/>
      <c r="C81" s="10" t="n"/>
      <c r="D81" s="16" t="n"/>
      <c r="E81" s="24" t="n"/>
      <c r="F81" s="13">
        <f>IF($B81="","",IF(COUNTIF(Katalog_Leistung,$B81)&gt;1,"! Bezeichnung doppelt",IF($A81="","! Kategorie fehlt",IF(ISNA(MATCH($A81,Kategorien,0)),"! Kategorie fehlt in Spalte I",IF(OR(AND($D81&lt;&gt;"",NOT(ISNUMBER($D81))),AND($E81&lt;&gt;"",NOT(ISNUMBER($E81)))),"! Preis oder Zeit ist keine Zahl","OK")))))</f>
        <v/>
      </c>
      <c r="H81" s="10" t="n"/>
      <c r="I81" s="10" t="n"/>
    </row>
    <row r="82">
      <c r="A82" s="10" t="n"/>
      <c r="B82" s="10" t="n"/>
      <c r="C82" s="10" t="n"/>
      <c r="D82" s="16" t="n"/>
      <c r="E82" s="24" t="n"/>
      <c r="F82" s="13">
        <f>IF($B82="","",IF(COUNTIF(Katalog_Leistung,$B82)&gt;1,"! Bezeichnung doppelt",IF($A82="","! Kategorie fehlt",IF(ISNA(MATCH($A82,Kategorien,0)),"! Kategorie fehlt in Spalte I",IF(OR(AND($D82&lt;&gt;"",NOT(ISNUMBER($D82))),AND($E82&lt;&gt;"",NOT(ISNUMBER($E82)))),"! Preis oder Zeit ist keine Zahl","OK")))))</f>
        <v/>
      </c>
      <c r="H82" s="10" t="n"/>
      <c r="I82" s="10" t="n"/>
    </row>
    <row r="83">
      <c r="A83" s="10" t="n"/>
      <c r="B83" s="10" t="n"/>
      <c r="C83" s="10" t="n"/>
      <c r="D83" s="16" t="n"/>
      <c r="E83" s="24" t="n"/>
      <c r="F83" s="13">
        <f>IF($B83="","",IF(COUNTIF(Katalog_Leistung,$B83)&gt;1,"! Bezeichnung doppelt",IF($A83="","! Kategorie fehlt",IF(ISNA(MATCH($A83,Kategorien,0)),"! Kategorie fehlt in Spalte I",IF(OR(AND($D83&lt;&gt;"",NOT(ISNUMBER($D83))),AND($E83&lt;&gt;"",NOT(ISNUMBER($E83)))),"! Preis oder Zeit ist keine Zahl","OK")))))</f>
        <v/>
      </c>
      <c r="H83" s="10" t="n"/>
      <c r="I83" s="10" t="n"/>
    </row>
    <row r="84">
      <c r="A84" s="10" t="n"/>
      <c r="B84" s="10" t="n"/>
      <c r="C84" s="10" t="n"/>
      <c r="D84" s="16" t="n"/>
      <c r="E84" s="24" t="n"/>
      <c r="F84" s="13">
        <f>IF($B84="","",IF(COUNTIF(Katalog_Leistung,$B84)&gt;1,"! Bezeichnung doppelt",IF($A84="","! Kategorie fehlt",IF(ISNA(MATCH($A84,Kategorien,0)),"! Kategorie fehlt in Spalte I",IF(OR(AND($D84&lt;&gt;"",NOT(ISNUMBER($D84))),AND($E84&lt;&gt;"",NOT(ISNUMBER($E84)))),"! Preis oder Zeit ist keine Zahl","OK")))))</f>
        <v/>
      </c>
      <c r="H84" s="10" t="n"/>
      <c r="I84" s="10" t="n"/>
    </row>
    <row r="85">
      <c r="A85" s="10" t="n"/>
      <c r="B85" s="10" t="n"/>
      <c r="C85" s="10" t="n"/>
      <c r="D85" s="16" t="n"/>
      <c r="E85" s="24" t="n"/>
      <c r="F85" s="13">
        <f>IF($B85="","",IF(COUNTIF(Katalog_Leistung,$B85)&gt;1,"! Bezeichnung doppelt",IF($A85="","! Kategorie fehlt",IF(ISNA(MATCH($A85,Kategorien,0)),"! Kategorie fehlt in Spalte I",IF(OR(AND($D85&lt;&gt;"",NOT(ISNUMBER($D85))),AND($E85&lt;&gt;"",NOT(ISNUMBER($E85)))),"! Preis oder Zeit ist keine Zahl","OK")))))</f>
        <v/>
      </c>
      <c r="H85" s="10" t="n"/>
      <c r="I85" s="10" t="n"/>
    </row>
    <row r="86">
      <c r="A86" s="10" t="n"/>
      <c r="B86" s="10" t="n"/>
      <c r="C86" s="10" t="n"/>
      <c r="D86" s="16" t="n"/>
      <c r="E86" s="24" t="n"/>
      <c r="F86" s="13">
        <f>IF($B86="","",IF(COUNTIF(Katalog_Leistung,$B86)&gt;1,"! Bezeichnung doppelt",IF($A86="","! Kategorie fehlt",IF(ISNA(MATCH($A86,Kategorien,0)),"! Kategorie fehlt in Spalte I",IF(OR(AND($D86&lt;&gt;"",NOT(ISNUMBER($D86))),AND($E86&lt;&gt;"",NOT(ISNUMBER($E86)))),"! Preis oder Zeit ist keine Zahl","OK")))))</f>
        <v/>
      </c>
      <c r="H86" s="10" t="n"/>
      <c r="I86" s="10" t="n"/>
    </row>
    <row r="87">
      <c r="A87" s="10" t="n"/>
      <c r="B87" s="10" t="n"/>
      <c r="C87" s="10" t="n"/>
      <c r="D87" s="16" t="n"/>
      <c r="E87" s="24" t="n"/>
      <c r="F87" s="13">
        <f>IF($B87="","",IF(COUNTIF(Katalog_Leistung,$B87)&gt;1,"! Bezeichnung doppelt",IF($A87="","! Kategorie fehlt",IF(ISNA(MATCH($A87,Kategorien,0)),"! Kategorie fehlt in Spalte I",IF(OR(AND($D87&lt;&gt;"",NOT(ISNUMBER($D87))),AND($E87&lt;&gt;"",NOT(ISNUMBER($E87)))),"! Preis oder Zeit ist keine Zahl","OK")))))</f>
        <v/>
      </c>
      <c r="H87" s="10" t="n"/>
      <c r="I87" s="10" t="n"/>
    </row>
    <row r="88">
      <c r="A88" s="10" t="n"/>
      <c r="B88" s="10" t="n"/>
      <c r="C88" s="10" t="n"/>
      <c r="D88" s="16" t="n"/>
      <c r="E88" s="24" t="n"/>
      <c r="F88" s="13">
        <f>IF($B88="","",IF(COUNTIF(Katalog_Leistung,$B88)&gt;1,"! Bezeichnung doppelt",IF($A88="","! Kategorie fehlt",IF(ISNA(MATCH($A88,Kategorien,0)),"! Kategorie fehlt in Spalte I",IF(OR(AND($D88&lt;&gt;"",NOT(ISNUMBER($D88))),AND($E88&lt;&gt;"",NOT(ISNUMBER($E88)))),"! Preis oder Zeit ist keine Zahl","OK")))))</f>
        <v/>
      </c>
      <c r="H88" s="10" t="n"/>
      <c r="I88" s="10" t="n"/>
    </row>
    <row r="89">
      <c r="A89" s="10" t="n"/>
      <c r="B89" s="10" t="n"/>
      <c r="C89" s="10" t="n"/>
      <c r="D89" s="16" t="n"/>
      <c r="E89" s="24" t="n"/>
      <c r="F89" s="13">
        <f>IF($B89="","",IF(COUNTIF(Katalog_Leistung,$B89)&gt;1,"! Bezeichnung doppelt",IF($A89="","! Kategorie fehlt",IF(ISNA(MATCH($A89,Kategorien,0)),"! Kategorie fehlt in Spalte I",IF(OR(AND($D89&lt;&gt;"",NOT(ISNUMBER($D89))),AND($E89&lt;&gt;"",NOT(ISNUMBER($E89)))),"! Preis oder Zeit ist keine Zahl","OK")))))</f>
        <v/>
      </c>
      <c r="H89" s="10" t="n"/>
      <c r="I89" s="10" t="n"/>
    </row>
    <row r="90">
      <c r="A90" s="10" t="n"/>
      <c r="B90" s="10" t="n"/>
      <c r="C90" s="10" t="n"/>
      <c r="D90" s="16" t="n"/>
      <c r="E90" s="24" t="n"/>
      <c r="F90" s="13">
        <f>IF($B90="","",IF(COUNTIF(Katalog_Leistung,$B90)&gt;1,"! Bezeichnung doppelt",IF($A90="","! Kategorie fehlt",IF(ISNA(MATCH($A90,Kategorien,0)),"! Kategorie fehlt in Spalte I",IF(OR(AND($D90&lt;&gt;"",NOT(ISNUMBER($D90))),AND($E90&lt;&gt;"",NOT(ISNUMBER($E90)))),"! Preis oder Zeit ist keine Zahl","OK")))))</f>
        <v/>
      </c>
      <c r="H90" s="10" t="n"/>
      <c r="I90" s="10" t="n"/>
    </row>
    <row r="91">
      <c r="A91" s="10" t="n"/>
      <c r="B91" s="10" t="n"/>
      <c r="C91" s="10" t="n"/>
      <c r="D91" s="16" t="n"/>
      <c r="E91" s="24" t="n"/>
      <c r="F91" s="13">
        <f>IF($B91="","",IF(COUNTIF(Katalog_Leistung,$B91)&gt;1,"! Bezeichnung doppelt",IF($A91="","! Kategorie fehlt",IF(ISNA(MATCH($A91,Kategorien,0)),"! Kategorie fehlt in Spalte I",IF(OR(AND($D91&lt;&gt;"",NOT(ISNUMBER($D91))),AND($E91&lt;&gt;"",NOT(ISNUMBER($E91)))),"! Preis oder Zeit ist keine Zahl","OK")))))</f>
        <v/>
      </c>
      <c r="H91" s="10" t="n"/>
      <c r="I91" s="10" t="n"/>
    </row>
    <row r="92">
      <c r="A92" s="10" t="n"/>
      <c r="B92" s="10" t="n"/>
      <c r="C92" s="10" t="n"/>
      <c r="D92" s="16" t="n"/>
      <c r="E92" s="24" t="n"/>
      <c r="F92" s="13">
        <f>IF($B92="","",IF(COUNTIF(Katalog_Leistung,$B92)&gt;1,"! Bezeichnung doppelt",IF($A92="","! Kategorie fehlt",IF(ISNA(MATCH($A92,Kategorien,0)),"! Kategorie fehlt in Spalte I",IF(OR(AND($D92&lt;&gt;"",NOT(ISNUMBER($D92))),AND($E92&lt;&gt;"",NOT(ISNUMBER($E92)))),"! Preis oder Zeit ist keine Zahl","OK")))))</f>
        <v/>
      </c>
      <c r="H92" s="10" t="n"/>
      <c r="I92" s="10" t="n"/>
    </row>
    <row r="93">
      <c r="A93" s="10" t="n"/>
      <c r="B93" s="10" t="n"/>
      <c r="C93" s="10" t="n"/>
      <c r="D93" s="16" t="n"/>
      <c r="E93" s="24" t="n"/>
      <c r="F93" s="13">
        <f>IF($B93="","",IF(COUNTIF(Katalog_Leistung,$B93)&gt;1,"! Bezeichnung doppelt",IF($A93="","! Kategorie fehlt",IF(ISNA(MATCH($A93,Kategorien,0)),"! Kategorie fehlt in Spalte I",IF(OR(AND($D93&lt;&gt;"",NOT(ISNUMBER($D93))),AND($E93&lt;&gt;"",NOT(ISNUMBER($E93)))),"! Preis oder Zeit ist keine Zahl","OK")))))</f>
        <v/>
      </c>
      <c r="H93" s="10" t="n"/>
      <c r="I93" s="10" t="n"/>
    </row>
    <row r="94">
      <c r="A94" s="10" t="n"/>
      <c r="B94" s="10" t="n"/>
      <c r="C94" s="10" t="n"/>
      <c r="D94" s="16" t="n"/>
      <c r="E94" s="24" t="n"/>
      <c r="F94" s="13">
        <f>IF($B94="","",IF(COUNTIF(Katalog_Leistung,$B94)&gt;1,"! Bezeichnung doppelt",IF($A94="","! Kategorie fehlt",IF(ISNA(MATCH($A94,Kategorien,0)),"! Kategorie fehlt in Spalte I",IF(OR(AND($D94&lt;&gt;"",NOT(ISNUMBER($D94))),AND($E94&lt;&gt;"",NOT(ISNUMBER($E94)))),"! Preis oder Zeit ist keine Zahl","OK")))))</f>
        <v/>
      </c>
      <c r="H94" s="10" t="n"/>
      <c r="I94" s="10" t="n"/>
    </row>
    <row r="95">
      <c r="A95" s="10" t="n"/>
      <c r="B95" s="10" t="n"/>
      <c r="C95" s="10" t="n"/>
      <c r="D95" s="16" t="n"/>
      <c r="E95" s="24" t="n"/>
      <c r="F95" s="13">
        <f>IF($B95="","",IF(COUNTIF(Katalog_Leistung,$B95)&gt;1,"! Bezeichnung doppelt",IF($A95="","! Kategorie fehlt",IF(ISNA(MATCH($A95,Kategorien,0)),"! Kategorie fehlt in Spalte I",IF(OR(AND($D95&lt;&gt;"",NOT(ISNUMBER($D95))),AND($E95&lt;&gt;"",NOT(ISNUMBER($E95)))),"! Preis oder Zeit ist keine Zahl","OK")))))</f>
        <v/>
      </c>
      <c r="H95" s="10" t="n"/>
      <c r="I95" s="10" t="n"/>
    </row>
    <row r="96">
      <c r="A96" s="10" t="n"/>
      <c r="B96" s="10" t="n"/>
      <c r="C96" s="10" t="n"/>
      <c r="D96" s="16" t="n"/>
      <c r="E96" s="24" t="n"/>
      <c r="F96" s="13">
        <f>IF($B96="","",IF(COUNTIF(Katalog_Leistung,$B96)&gt;1,"! Bezeichnung doppelt",IF($A96="","! Kategorie fehlt",IF(ISNA(MATCH($A96,Kategorien,0)),"! Kategorie fehlt in Spalte I",IF(OR(AND($D96&lt;&gt;"",NOT(ISNUMBER($D96))),AND($E96&lt;&gt;"",NOT(ISNUMBER($E96)))),"! Preis oder Zeit ist keine Zahl","OK")))))</f>
        <v/>
      </c>
      <c r="H96" s="10" t="n"/>
      <c r="I96" s="10" t="n"/>
    </row>
    <row r="97">
      <c r="A97" s="10" t="n"/>
      <c r="B97" s="10" t="n"/>
      <c r="C97" s="10" t="n"/>
      <c r="D97" s="16" t="n"/>
      <c r="E97" s="24" t="n"/>
      <c r="F97" s="13">
        <f>IF($B97="","",IF(COUNTIF(Katalog_Leistung,$B97)&gt;1,"! Bezeichnung doppelt",IF($A97="","! Kategorie fehlt",IF(ISNA(MATCH($A97,Kategorien,0)),"! Kategorie fehlt in Spalte I",IF(OR(AND($D97&lt;&gt;"",NOT(ISNUMBER($D97))),AND($E97&lt;&gt;"",NOT(ISNUMBER($E97)))),"! Preis oder Zeit ist keine Zahl","OK")))))</f>
        <v/>
      </c>
      <c r="H97" s="10" t="n"/>
      <c r="I97" s="10" t="n"/>
    </row>
    <row r="98">
      <c r="A98" s="10" t="n"/>
      <c r="B98" s="10" t="n"/>
      <c r="C98" s="10" t="n"/>
      <c r="D98" s="16" t="n"/>
      <c r="E98" s="24" t="n"/>
      <c r="F98" s="13">
        <f>IF($B98="","",IF(COUNTIF(Katalog_Leistung,$B98)&gt;1,"! Bezeichnung doppelt",IF($A98="","! Kategorie fehlt",IF(ISNA(MATCH($A98,Kategorien,0)),"! Kategorie fehlt in Spalte I",IF(OR(AND($D98&lt;&gt;"",NOT(ISNUMBER($D98))),AND($E98&lt;&gt;"",NOT(ISNUMBER($E98)))),"! Preis oder Zeit ist keine Zahl","OK")))))</f>
        <v/>
      </c>
      <c r="H98" s="10" t="n"/>
      <c r="I98" s="10" t="n"/>
    </row>
    <row r="99">
      <c r="A99" s="10" t="n"/>
      <c r="B99" s="10" t="n"/>
      <c r="C99" s="10" t="n"/>
      <c r="D99" s="16" t="n"/>
      <c r="E99" s="24" t="n"/>
      <c r="F99" s="13">
        <f>IF($B99="","",IF(COUNTIF(Katalog_Leistung,$B99)&gt;1,"! Bezeichnung doppelt",IF($A99="","! Kategorie fehlt",IF(ISNA(MATCH($A99,Kategorien,0)),"! Kategorie fehlt in Spalte I",IF(OR(AND($D99&lt;&gt;"",NOT(ISNUMBER($D99))),AND($E99&lt;&gt;"",NOT(ISNUMBER($E99)))),"! Preis oder Zeit ist keine Zahl","OK")))))</f>
        <v/>
      </c>
      <c r="H99" s="10" t="n"/>
      <c r="I99" s="10" t="n"/>
    </row>
    <row r="100">
      <c r="A100" s="10" t="n"/>
      <c r="B100" s="10" t="n"/>
      <c r="C100" s="10" t="n"/>
      <c r="D100" s="16" t="n"/>
      <c r="E100" s="24" t="n"/>
      <c r="F100" s="13">
        <f>IF($B100="","",IF(COUNTIF(Katalog_Leistung,$B100)&gt;1,"! Bezeichnung doppelt",IF($A100="","! Kategorie fehlt",IF(ISNA(MATCH($A100,Kategorien,0)),"! Kategorie fehlt in Spalte I",IF(OR(AND($D100&lt;&gt;"",NOT(ISNUMBER($D100))),AND($E100&lt;&gt;"",NOT(ISNUMBER($E100)))),"! Preis oder Zeit ist keine Zahl","OK")))))</f>
        <v/>
      </c>
      <c r="H100" s="10" t="n"/>
      <c r="I100" s="10" t="n"/>
    </row>
    <row r="101">
      <c r="A101" s="10" t="n"/>
      <c r="B101" s="10" t="n"/>
      <c r="C101" s="10" t="n"/>
      <c r="D101" s="16" t="n"/>
      <c r="E101" s="24" t="n"/>
      <c r="F101" s="13">
        <f>IF($B101="","",IF(COUNTIF(Katalog_Leistung,$B101)&gt;1,"! Bezeichnung doppelt",IF($A101="","! Kategorie fehlt",IF(ISNA(MATCH($A101,Kategorien,0)),"! Kategorie fehlt in Spalte I",IF(OR(AND($D101&lt;&gt;"",NOT(ISNUMBER($D101))),AND($E101&lt;&gt;"",NOT(ISNUMBER($E101)))),"! Preis oder Zeit ist keine Zahl","OK")))))</f>
        <v/>
      </c>
      <c r="H101" s="10" t="n"/>
      <c r="I101" s="10" t="n"/>
    </row>
    <row r="102">
      <c r="A102" s="10" t="n"/>
      <c r="B102" s="10" t="n"/>
      <c r="C102" s="10" t="n"/>
      <c r="D102" s="16" t="n"/>
      <c r="E102" s="24" t="n"/>
      <c r="F102" s="13">
        <f>IF($B102="","",IF(COUNTIF(Katalog_Leistung,$B102)&gt;1,"! Bezeichnung doppelt",IF($A102="","! Kategorie fehlt",IF(ISNA(MATCH($A102,Kategorien,0)),"! Kategorie fehlt in Spalte I",IF(OR(AND($D102&lt;&gt;"",NOT(ISNUMBER($D102))),AND($E102&lt;&gt;"",NOT(ISNUMBER($E102)))),"! Preis oder Zeit ist keine Zahl","OK")))))</f>
        <v/>
      </c>
      <c r="H102" s="10" t="n"/>
      <c r="I102" s="10" t="n"/>
    </row>
    <row r="103">
      <c r="A103" s="10" t="n"/>
      <c r="B103" s="10" t="n"/>
      <c r="C103" s="10" t="n"/>
      <c r="D103" s="16" t="n"/>
      <c r="E103" s="24" t="n"/>
      <c r="F103" s="13">
        <f>IF($B103="","",IF(COUNTIF(Katalog_Leistung,$B103)&gt;1,"! Bezeichnung doppelt",IF($A103="","! Kategorie fehlt",IF(ISNA(MATCH($A103,Kategorien,0)),"! Kategorie fehlt in Spalte I",IF(OR(AND($D103&lt;&gt;"",NOT(ISNUMBER($D103))),AND($E103&lt;&gt;"",NOT(ISNUMBER($E103)))),"! Preis oder Zeit ist keine Zahl","OK")))))</f>
        <v/>
      </c>
      <c r="H103" s="10" t="n"/>
      <c r="I103" s="10" t="n"/>
    </row>
    <row r="104">
      <c r="A104" s="10" t="n"/>
      <c r="B104" s="10" t="n"/>
      <c r="C104" s="10" t="n"/>
      <c r="D104" s="16" t="n"/>
      <c r="E104" s="24" t="n"/>
      <c r="F104" s="13">
        <f>IF($B104="","",IF(COUNTIF(Katalog_Leistung,$B104)&gt;1,"! Bezeichnung doppelt",IF($A104="","! Kategorie fehlt",IF(ISNA(MATCH($A104,Kategorien,0)),"! Kategorie fehlt in Spalte I",IF(OR(AND($D104&lt;&gt;"",NOT(ISNUMBER($D104))),AND($E104&lt;&gt;"",NOT(ISNUMBER($E104)))),"! Preis oder Zeit ist keine Zahl","OK")))))</f>
        <v/>
      </c>
      <c r="H104" s="10" t="n"/>
      <c r="I104" s="10" t="n"/>
    </row>
    <row r="105">
      <c r="A105" s="10" t="n"/>
      <c r="B105" s="10" t="n"/>
      <c r="C105" s="10" t="n"/>
      <c r="D105" s="16" t="n"/>
      <c r="E105" s="24" t="n"/>
      <c r="F105" s="13">
        <f>IF($B105="","",IF(COUNTIF(Katalog_Leistung,$B105)&gt;1,"! Bezeichnung doppelt",IF($A105="","! Kategorie fehlt",IF(ISNA(MATCH($A105,Kategorien,0)),"! Kategorie fehlt in Spalte I",IF(OR(AND($D105&lt;&gt;"",NOT(ISNUMBER($D105))),AND($E105&lt;&gt;"",NOT(ISNUMBER($E105)))),"! Preis oder Zeit ist keine Zahl","OK")))))</f>
        <v/>
      </c>
      <c r="H105" s="10" t="n"/>
      <c r="I105" s="10" t="n"/>
    </row>
    <row r="106">
      <c r="A106" s="10" t="n"/>
      <c r="B106" s="10" t="n"/>
      <c r="C106" s="10" t="n"/>
      <c r="D106" s="16" t="n"/>
      <c r="E106" s="24" t="n"/>
      <c r="F106" s="13">
        <f>IF($B106="","",IF(COUNTIF(Katalog_Leistung,$B106)&gt;1,"! Bezeichnung doppelt",IF($A106="","! Kategorie fehlt",IF(ISNA(MATCH($A106,Kategorien,0)),"! Kategorie fehlt in Spalte I",IF(OR(AND($D106&lt;&gt;"",NOT(ISNUMBER($D106))),AND($E106&lt;&gt;"",NOT(ISNUMBER($E106)))),"! Preis oder Zeit ist keine Zahl","OK")))))</f>
        <v/>
      </c>
      <c r="H106" s="10" t="n"/>
      <c r="I106" s="10" t="n"/>
    </row>
    <row r="107">
      <c r="A107" s="10" t="n"/>
      <c r="B107" s="10" t="n"/>
      <c r="C107" s="10" t="n"/>
      <c r="D107" s="16" t="n"/>
      <c r="E107" s="24" t="n"/>
      <c r="F107" s="13">
        <f>IF($B107="","",IF(COUNTIF(Katalog_Leistung,$B107)&gt;1,"! Bezeichnung doppelt",IF($A107="","! Kategorie fehlt",IF(ISNA(MATCH($A107,Kategorien,0)),"! Kategorie fehlt in Spalte I",IF(OR(AND($D107&lt;&gt;"",NOT(ISNUMBER($D107))),AND($E107&lt;&gt;"",NOT(ISNUMBER($E107)))),"! Preis oder Zeit ist keine Zahl","OK")))))</f>
        <v/>
      </c>
      <c r="H107" s="10" t="n"/>
      <c r="I107" s="10" t="n"/>
    </row>
    <row r="108">
      <c r="A108" s="10" t="n"/>
      <c r="B108" s="10" t="n"/>
      <c r="C108" s="10" t="n"/>
      <c r="D108" s="16" t="n"/>
      <c r="E108" s="24" t="n"/>
      <c r="F108" s="13">
        <f>IF($B108="","",IF(COUNTIF(Katalog_Leistung,$B108)&gt;1,"! Bezeichnung doppelt",IF($A108="","! Kategorie fehlt",IF(ISNA(MATCH($A108,Kategorien,0)),"! Kategorie fehlt in Spalte I",IF(OR(AND($D108&lt;&gt;"",NOT(ISNUMBER($D108))),AND($E108&lt;&gt;"",NOT(ISNUMBER($E108)))),"! Preis oder Zeit ist keine Zahl","OK")))))</f>
        <v/>
      </c>
      <c r="H108" s="10" t="n"/>
      <c r="I108" s="10" t="n"/>
    </row>
    <row r="109">
      <c r="A109" s="10" t="n"/>
      <c r="B109" s="10" t="n"/>
      <c r="C109" s="10" t="n"/>
      <c r="D109" s="16" t="n"/>
      <c r="E109" s="24" t="n"/>
      <c r="F109" s="13">
        <f>IF($B109="","",IF(COUNTIF(Katalog_Leistung,$B109)&gt;1,"! Bezeichnung doppelt",IF($A109="","! Kategorie fehlt",IF(ISNA(MATCH($A109,Kategorien,0)),"! Kategorie fehlt in Spalte I",IF(OR(AND($D109&lt;&gt;"",NOT(ISNUMBER($D109))),AND($E109&lt;&gt;"",NOT(ISNUMBER($E109)))),"! Preis oder Zeit ist keine Zahl","OK")))))</f>
        <v/>
      </c>
      <c r="H109" s="10" t="n"/>
      <c r="I109" s="10" t="n"/>
    </row>
    <row r="110">
      <c r="A110" s="10" t="n"/>
      <c r="B110" s="10" t="n"/>
      <c r="C110" s="10" t="n"/>
      <c r="D110" s="16" t="n"/>
      <c r="E110" s="24" t="n"/>
      <c r="F110" s="13">
        <f>IF($B110="","",IF(COUNTIF(Katalog_Leistung,$B110)&gt;1,"! Bezeichnung doppelt",IF($A110="","! Kategorie fehlt",IF(ISNA(MATCH($A110,Kategorien,0)),"! Kategorie fehlt in Spalte I",IF(OR(AND($D110&lt;&gt;"",NOT(ISNUMBER($D110))),AND($E110&lt;&gt;"",NOT(ISNUMBER($E110)))),"! Preis oder Zeit ist keine Zahl","OK")))))</f>
        <v/>
      </c>
      <c r="H110" s="10" t="n"/>
      <c r="I110" s="10" t="n"/>
    </row>
    <row r="111">
      <c r="A111" s="10" t="n"/>
      <c r="B111" s="10" t="n"/>
      <c r="C111" s="10" t="n"/>
      <c r="D111" s="16" t="n"/>
      <c r="E111" s="24" t="n"/>
      <c r="F111" s="13">
        <f>IF($B111="","",IF(COUNTIF(Katalog_Leistung,$B111)&gt;1,"! Bezeichnung doppelt",IF($A111="","! Kategorie fehlt",IF(ISNA(MATCH($A111,Kategorien,0)),"! Kategorie fehlt in Spalte I",IF(OR(AND($D111&lt;&gt;"",NOT(ISNUMBER($D111))),AND($E111&lt;&gt;"",NOT(ISNUMBER($E111)))),"! Preis oder Zeit ist keine Zahl","OK")))))</f>
        <v/>
      </c>
      <c r="H111" s="10" t="n"/>
      <c r="I111" s="10" t="n"/>
    </row>
    <row r="112">
      <c r="A112" s="10" t="n"/>
      <c r="B112" s="10" t="n"/>
      <c r="C112" s="10" t="n"/>
      <c r="D112" s="16" t="n"/>
      <c r="E112" s="24" t="n"/>
      <c r="F112" s="13">
        <f>IF($B112="","",IF(COUNTIF(Katalog_Leistung,$B112)&gt;1,"! Bezeichnung doppelt",IF($A112="","! Kategorie fehlt",IF(ISNA(MATCH($A112,Kategorien,0)),"! Kategorie fehlt in Spalte I",IF(OR(AND($D112&lt;&gt;"",NOT(ISNUMBER($D112))),AND($E112&lt;&gt;"",NOT(ISNUMBER($E112)))),"! Preis oder Zeit ist keine Zahl","OK")))))</f>
        <v/>
      </c>
      <c r="H112" s="10" t="n"/>
      <c r="I112" s="10" t="n"/>
    </row>
    <row r="113">
      <c r="A113" s="10" t="n"/>
      <c r="B113" s="10" t="n"/>
      <c r="C113" s="10" t="n"/>
      <c r="D113" s="16" t="n"/>
      <c r="E113" s="24" t="n"/>
      <c r="F113" s="13">
        <f>IF($B113="","",IF(COUNTIF(Katalog_Leistung,$B113)&gt;1,"! Bezeichnung doppelt",IF($A113="","! Kategorie fehlt",IF(ISNA(MATCH($A113,Kategorien,0)),"! Kategorie fehlt in Spalte I",IF(OR(AND($D113&lt;&gt;"",NOT(ISNUMBER($D113))),AND($E113&lt;&gt;"",NOT(ISNUMBER($E113)))),"! Preis oder Zeit ist keine Zahl","OK")))))</f>
        <v/>
      </c>
      <c r="H113" s="10" t="n"/>
      <c r="I113" s="10" t="n"/>
    </row>
    <row r="114">
      <c r="A114" s="10" t="n"/>
      <c r="B114" s="10" t="n"/>
      <c r="C114" s="10" t="n"/>
      <c r="D114" s="16" t="n"/>
      <c r="E114" s="24" t="n"/>
      <c r="F114" s="13">
        <f>IF($B114="","",IF(COUNTIF(Katalog_Leistung,$B114)&gt;1,"! Bezeichnung doppelt",IF($A114="","! Kategorie fehlt",IF(ISNA(MATCH($A114,Kategorien,0)),"! Kategorie fehlt in Spalte I",IF(OR(AND($D114&lt;&gt;"",NOT(ISNUMBER($D114))),AND($E114&lt;&gt;"",NOT(ISNUMBER($E114)))),"! Preis oder Zeit ist keine Zahl","OK")))))</f>
        <v/>
      </c>
      <c r="H114" s="10" t="n"/>
      <c r="I114" s="10" t="n"/>
    </row>
    <row r="115">
      <c r="A115" s="10" t="n"/>
      <c r="B115" s="10" t="n"/>
      <c r="C115" s="10" t="n"/>
      <c r="D115" s="16" t="n"/>
      <c r="E115" s="24" t="n"/>
      <c r="F115" s="13">
        <f>IF($B115="","",IF(COUNTIF(Katalog_Leistung,$B115)&gt;1,"! Bezeichnung doppelt",IF($A115="","! Kategorie fehlt",IF(ISNA(MATCH($A115,Kategorien,0)),"! Kategorie fehlt in Spalte I",IF(OR(AND($D115&lt;&gt;"",NOT(ISNUMBER($D115))),AND($E115&lt;&gt;"",NOT(ISNUMBER($E115)))),"! Preis oder Zeit ist keine Zahl","OK")))))</f>
        <v/>
      </c>
      <c r="H115" s="10" t="n"/>
      <c r="I115" s="10" t="n"/>
    </row>
    <row r="116">
      <c r="A116" s="10" t="n"/>
      <c r="B116" s="10" t="n"/>
      <c r="C116" s="10" t="n"/>
      <c r="D116" s="16" t="n"/>
      <c r="E116" s="24" t="n"/>
      <c r="F116" s="13">
        <f>IF($B116="","",IF(COUNTIF(Katalog_Leistung,$B116)&gt;1,"! Bezeichnung doppelt",IF($A116="","! Kategorie fehlt",IF(ISNA(MATCH($A116,Kategorien,0)),"! Kategorie fehlt in Spalte I",IF(OR(AND($D116&lt;&gt;"",NOT(ISNUMBER($D116))),AND($E116&lt;&gt;"",NOT(ISNUMBER($E116)))),"! Preis oder Zeit ist keine Zahl","OK")))))</f>
        <v/>
      </c>
      <c r="H116" s="10" t="n"/>
      <c r="I116" s="10" t="n"/>
    </row>
    <row r="117">
      <c r="A117" s="10" t="n"/>
      <c r="B117" s="10" t="n"/>
      <c r="C117" s="10" t="n"/>
      <c r="D117" s="16" t="n"/>
      <c r="E117" s="24" t="n"/>
      <c r="F117" s="13">
        <f>IF($B117="","",IF(COUNTIF(Katalog_Leistung,$B117)&gt;1,"! Bezeichnung doppelt",IF($A117="","! Kategorie fehlt",IF(ISNA(MATCH($A117,Kategorien,0)),"! Kategorie fehlt in Spalte I",IF(OR(AND($D117&lt;&gt;"",NOT(ISNUMBER($D117))),AND($E117&lt;&gt;"",NOT(ISNUMBER($E117)))),"! Preis oder Zeit ist keine Zahl","OK")))))</f>
        <v/>
      </c>
      <c r="H117" s="10" t="n"/>
      <c r="I117" s="10" t="n"/>
    </row>
    <row r="118">
      <c r="A118" s="10" t="n"/>
      <c r="B118" s="10" t="n"/>
      <c r="C118" s="10" t="n"/>
      <c r="D118" s="16" t="n"/>
      <c r="E118" s="24" t="n"/>
      <c r="F118" s="13">
        <f>IF($B118="","",IF(COUNTIF(Katalog_Leistung,$B118)&gt;1,"! Bezeichnung doppelt",IF($A118="","! Kategorie fehlt",IF(ISNA(MATCH($A118,Kategorien,0)),"! Kategorie fehlt in Spalte I",IF(OR(AND($D118&lt;&gt;"",NOT(ISNUMBER($D118))),AND($E118&lt;&gt;"",NOT(ISNUMBER($E118)))),"! Preis oder Zeit ist keine Zahl","OK")))))</f>
        <v/>
      </c>
      <c r="H118" s="10" t="n"/>
      <c r="I118" s="10" t="n"/>
    </row>
    <row r="119">
      <c r="A119" s="10" t="n"/>
      <c r="B119" s="10" t="n"/>
      <c r="C119" s="10" t="n"/>
      <c r="D119" s="16" t="n"/>
      <c r="E119" s="24" t="n"/>
      <c r="F119" s="13">
        <f>IF($B119="","",IF(COUNTIF(Katalog_Leistung,$B119)&gt;1,"! Bezeichnung doppelt",IF($A119="","! Kategorie fehlt",IF(ISNA(MATCH($A119,Kategorien,0)),"! Kategorie fehlt in Spalte I",IF(OR(AND($D119&lt;&gt;"",NOT(ISNUMBER($D119))),AND($E119&lt;&gt;"",NOT(ISNUMBER($E119)))),"! Preis oder Zeit ist keine Zahl","OK")))))</f>
        <v/>
      </c>
      <c r="H119" s="10" t="n"/>
      <c r="I119" s="10" t="n"/>
    </row>
    <row r="120">
      <c r="A120" s="10" t="n"/>
      <c r="B120" s="10" t="n"/>
      <c r="C120" s="10" t="n"/>
      <c r="D120" s="16" t="n"/>
      <c r="E120" s="24" t="n"/>
      <c r="F120" s="13">
        <f>IF($B120="","",IF(COUNTIF(Katalog_Leistung,$B120)&gt;1,"! Bezeichnung doppelt",IF($A120="","! Kategorie fehlt",IF(ISNA(MATCH($A120,Kategorien,0)),"! Kategorie fehlt in Spalte I",IF(OR(AND($D120&lt;&gt;"",NOT(ISNUMBER($D120))),AND($E120&lt;&gt;"",NOT(ISNUMBER($E120)))),"! Preis oder Zeit ist keine Zahl","OK")))))</f>
        <v/>
      </c>
      <c r="H120" s="10" t="n"/>
      <c r="I120" s="10" t="n"/>
    </row>
    <row r="121">
      <c r="A121" s="10" t="n"/>
      <c r="B121" s="10" t="n"/>
      <c r="C121" s="10" t="n"/>
      <c r="D121" s="16" t="n"/>
      <c r="E121" s="24" t="n"/>
      <c r="F121" s="13">
        <f>IF($B121="","",IF(COUNTIF(Katalog_Leistung,$B121)&gt;1,"! Bezeichnung doppelt",IF($A121="","! Kategorie fehlt",IF(ISNA(MATCH($A121,Kategorien,0)),"! Kategorie fehlt in Spalte I",IF(OR(AND($D121&lt;&gt;"",NOT(ISNUMBER($D121))),AND($E121&lt;&gt;"",NOT(ISNUMBER($E121)))),"! Preis oder Zeit ist keine Zahl","OK")))))</f>
        <v/>
      </c>
      <c r="H121" s="10" t="n"/>
      <c r="I121" s="10" t="n"/>
    </row>
    <row r="122">
      <c r="A122" s="10" t="n"/>
      <c r="B122" s="10" t="n"/>
      <c r="C122" s="10" t="n"/>
      <c r="D122" s="16" t="n"/>
      <c r="E122" s="24" t="n"/>
      <c r="F122" s="13">
        <f>IF($B122="","",IF(COUNTIF(Katalog_Leistung,$B122)&gt;1,"! Bezeichnung doppelt",IF($A122="","! Kategorie fehlt",IF(ISNA(MATCH($A122,Kategorien,0)),"! Kategorie fehlt in Spalte I",IF(OR(AND($D122&lt;&gt;"",NOT(ISNUMBER($D122))),AND($E122&lt;&gt;"",NOT(ISNUMBER($E122)))),"! Preis oder Zeit ist keine Zahl","OK")))))</f>
        <v/>
      </c>
      <c r="H122" s="10" t="n"/>
      <c r="I122" s="10" t="n"/>
    </row>
    <row r="123">
      <c r="A123" s="10" t="n"/>
      <c r="B123" s="10" t="n"/>
      <c r="C123" s="10" t="n"/>
      <c r="D123" s="16" t="n"/>
      <c r="E123" s="24" t="n"/>
      <c r="F123" s="13">
        <f>IF($B123="","",IF(COUNTIF(Katalog_Leistung,$B123)&gt;1,"! Bezeichnung doppelt",IF($A123="","! Kategorie fehlt",IF(ISNA(MATCH($A123,Kategorien,0)),"! Kategorie fehlt in Spalte I",IF(OR(AND($D123&lt;&gt;"",NOT(ISNUMBER($D123))),AND($E123&lt;&gt;"",NOT(ISNUMBER($E123)))),"! Preis oder Zeit ist keine Zahl","OK")))))</f>
        <v/>
      </c>
      <c r="H123" s="10" t="n"/>
      <c r="I123" s="10" t="n"/>
    </row>
    <row r="124">
      <c r="A124" s="10" t="n"/>
      <c r="B124" s="10" t="n"/>
      <c r="C124" s="10" t="n"/>
      <c r="D124" s="16" t="n"/>
      <c r="E124" s="24" t="n"/>
      <c r="F124" s="13">
        <f>IF($B124="","",IF(COUNTIF(Katalog_Leistung,$B124)&gt;1,"! Bezeichnung doppelt",IF($A124="","! Kategorie fehlt",IF(ISNA(MATCH($A124,Kategorien,0)),"! Kategorie fehlt in Spalte I",IF(OR(AND($D124&lt;&gt;"",NOT(ISNUMBER($D124))),AND($E124&lt;&gt;"",NOT(ISNUMBER($E124)))),"! Preis oder Zeit ist keine Zahl","OK")))))</f>
        <v/>
      </c>
      <c r="H124" s="10" t="n"/>
      <c r="I124" s="10" t="n"/>
    </row>
    <row r="125">
      <c r="A125" s="10" t="n"/>
      <c r="B125" s="10" t="n"/>
      <c r="C125" s="10" t="n"/>
      <c r="D125" s="16" t="n"/>
      <c r="E125" s="24" t="n"/>
      <c r="F125" s="13">
        <f>IF($B125="","",IF(COUNTIF(Katalog_Leistung,$B125)&gt;1,"! Bezeichnung doppelt",IF($A125="","! Kategorie fehlt",IF(ISNA(MATCH($A125,Kategorien,0)),"! Kategorie fehlt in Spalte I",IF(OR(AND($D125&lt;&gt;"",NOT(ISNUMBER($D125))),AND($E125&lt;&gt;"",NOT(ISNUMBER($E125)))),"! Preis oder Zeit ist keine Zahl","OK")))))</f>
        <v/>
      </c>
      <c r="H125" s="10" t="n"/>
      <c r="I125" s="10" t="n"/>
    </row>
    <row r="126">
      <c r="A126" s="10" t="n"/>
      <c r="B126" s="10" t="n"/>
      <c r="C126" s="10" t="n"/>
      <c r="D126" s="16" t="n"/>
      <c r="E126" s="24" t="n"/>
      <c r="F126" s="13">
        <f>IF($B126="","",IF(COUNTIF(Katalog_Leistung,$B126)&gt;1,"! Bezeichnung doppelt",IF($A126="","! Kategorie fehlt",IF(ISNA(MATCH($A126,Kategorien,0)),"! Kategorie fehlt in Spalte I",IF(OR(AND($D126&lt;&gt;"",NOT(ISNUMBER($D126))),AND($E126&lt;&gt;"",NOT(ISNUMBER($E126)))),"! Preis oder Zeit ist keine Zahl","OK")))))</f>
        <v/>
      </c>
      <c r="H126" s="10" t="n"/>
      <c r="I126" s="10" t="n"/>
    </row>
    <row r="127">
      <c r="A127" s="10" t="n"/>
      <c r="B127" s="10" t="n"/>
      <c r="C127" s="10" t="n"/>
      <c r="D127" s="16" t="n"/>
      <c r="E127" s="24" t="n"/>
      <c r="F127" s="13">
        <f>IF($B127="","",IF(COUNTIF(Katalog_Leistung,$B127)&gt;1,"! Bezeichnung doppelt",IF($A127="","! Kategorie fehlt",IF(ISNA(MATCH($A127,Kategorien,0)),"! Kategorie fehlt in Spalte I",IF(OR(AND($D127&lt;&gt;"",NOT(ISNUMBER($D127))),AND($E127&lt;&gt;"",NOT(ISNUMBER($E127)))),"! Preis oder Zeit ist keine Zahl","OK")))))</f>
        <v/>
      </c>
      <c r="H127" s="10" t="n"/>
      <c r="I127" s="10" t="n"/>
    </row>
    <row r="128">
      <c r="A128" s="10" t="n"/>
      <c r="B128" s="10" t="n"/>
      <c r="C128" s="10" t="n"/>
      <c r="D128" s="16" t="n"/>
      <c r="E128" s="24" t="n"/>
      <c r="F128" s="13">
        <f>IF($B128="","",IF(COUNTIF(Katalog_Leistung,$B128)&gt;1,"! Bezeichnung doppelt",IF($A128="","! Kategorie fehlt",IF(ISNA(MATCH($A128,Kategorien,0)),"! Kategorie fehlt in Spalte I",IF(OR(AND($D128&lt;&gt;"",NOT(ISNUMBER($D128))),AND($E128&lt;&gt;"",NOT(ISNUMBER($E128)))),"! Preis oder Zeit ist keine Zahl","OK")))))</f>
        <v/>
      </c>
      <c r="H128" s="10" t="n"/>
      <c r="I128" s="10" t="n"/>
    </row>
    <row r="129">
      <c r="A129" s="10" t="n"/>
      <c r="B129" s="10" t="n"/>
      <c r="C129" s="10" t="n"/>
      <c r="D129" s="16" t="n"/>
      <c r="E129" s="24" t="n"/>
      <c r="F129" s="13">
        <f>IF($B129="","",IF(COUNTIF(Katalog_Leistung,$B129)&gt;1,"! Bezeichnung doppelt",IF($A129="","! Kategorie fehlt",IF(ISNA(MATCH($A129,Kategorien,0)),"! Kategorie fehlt in Spalte I",IF(OR(AND($D129&lt;&gt;"",NOT(ISNUMBER($D129))),AND($E129&lt;&gt;"",NOT(ISNUMBER($E129)))),"! Preis oder Zeit ist keine Zahl","OK")))))</f>
        <v/>
      </c>
      <c r="H129" s="10" t="n"/>
      <c r="I129" s="10" t="n"/>
    </row>
    <row r="130">
      <c r="A130" s="10" t="n"/>
      <c r="B130" s="10" t="n"/>
      <c r="C130" s="10" t="n"/>
      <c r="D130" s="16" t="n"/>
      <c r="E130" s="24" t="n"/>
      <c r="F130" s="13">
        <f>IF($B130="","",IF(COUNTIF(Katalog_Leistung,$B130)&gt;1,"! Bezeichnung doppelt",IF($A130="","! Kategorie fehlt",IF(ISNA(MATCH($A130,Kategorien,0)),"! Kategorie fehlt in Spalte I",IF(OR(AND($D130&lt;&gt;"",NOT(ISNUMBER($D130))),AND($E130&lt;&gt;"",NOT(ISNUMBER($E130)))),"! Preis oder Zeit ist keine Zahl","OK")))))</f>
        <v/>
      </c>
      <c r="H130" s="10" t="n"/>
      <c r="I130" s="10" t="n"/>
    </row>
    <row r="131">
      <c r="A131" s="10" t="n"/>
      <c r="B131" s="10" t="n"/>
      <c r="C131" s="10" t="n"/>
      <c r="D131" s="16" t="n"/>
      <c r="E131" s="24" t="n"/>
      <c r="F131" s="13">
        <f>IF($B131="","",IF(COUNTIF(Katalog_Leistung,$B131)&gt;1,"! Bezeichnung doppelt",IF($A131="","! Kategorie fehlt",IF(ISNA(MATCH($A131,Kategorien,0)),"! Kategorie fehlt in Spalte I",IF(OR(AND($D131&lt;&gt;"",NOT(ISNUMBER($D131))),AND($E131&lt;&gt;"",NOT(ISNUMBER($E131)))),"! Preis oder Zeit ist keine Zahl","OK")))))</f>
        <v/>
      </c>
      <c r="H131" s="10" t="n"/>
      <c r="I131" s="10" t="n"/>
    </row>
    <row r="132">
      <c r="A132" s="10" t="n"/>
      <c r="B132" s="10" t="n"/>
      <c r="C132" s="10" t="n"/>
      <c r="D132" s="16" t="n"/>
      <c r="E132" s="24" t="n"/>
      <c r="F132" s="13">
        <f>IF($B132="","",IF(COUNTIF(Katalog_Leistung,$B132)&gt;1,"! Bezeichnung doppelt",IF($A132="","! Kategorie fehlt",IF(ISNA(MATCH($A132,Kategorien,0)),"! Kategorie fehlt in Spalte I",IF(OR(AND($D132&lt;&gt;"",NOT(ISNUMBER($D132))),AND($E132&lt;&gt;"",NOT(ISNUMBER($E132)))),"! Preis oder Zeit ist keine Zahl","OK")))))</f>
        <v/>
      </c>
      <c r="H132" s="10" t="n"/>
      <c r="I132" s="10" t="n"/>
    </row>
    <row r="133">
      <c r="A133" s="10" t="n"/>
      <c r="B133" s="10" t="n"/>
      <c r="C133" s="10" t="n"/>
      <c r="D133" s="16" t="n"/>
      <c r="E133" s="24" t="n"/>
      <c r="F133" s="13">
        <f>IF($B133="","",IF(COUNTIF(Katalog_Leistung,$B133)&gt;1,"! Bezeichnung doppelt",IF($A133="","! Kategorie fehlt",IF(ISNA(MATCH($A133,Kategorien,0)),"! Kategorie fehlt in Spalte I",IF(OR(AND($D133&lt;&gt;"",NOT(ISNUMBER($D133))),AND($E133&lt;&gt;"",NOT(ISNUMBER($E133)))),"! Preis oder Zeit ist keine Zahl","OK")))))</f>
        <v/>
      </c>
      <c r="H133" s="10" t="n"/>
      <c r="I133" s="10" t="n"/>
    </row>
    <row r="134">
      <c r="A134" s="10" t="n"/>
      <c r="B134" s="10" t="n"/>
      <c r="C134" s="10" t="n"/>
      <c r="D134" s="16" t="n"/>
      <c r="E134" s="24" t="n"/>
      <c r="F134" s="13">
        <f>IF($B134="","",IF(COUNTIF(Katalog_Leistung,$B134)&gt;1,"! Bezeichnung doppelt",IF($A134="","! Kategorie fehlt",IF(ISNA(MATCH($A134,Kategorien,0)),"! Kategorie fehlt in Spalte I",IF(OR(AND($D134&lt;&gt;"",NOT(ISNUMBER($D134))),AND($E134&lt;&gt;"",NOT(ISNUMBER($E134)))),"! Preis oder Zeit ist keine Zahl","OK")))))</f>
        <v/>
      </c>
      <c r="H134" s="10" t="n"/>
      <c r="I134" s="10" t="n"/>
    </row>
    <row r="135">
      <c r="A135" s="10" t="n"/>
      <c r="B135" s="10" t="n"/>
      <c r="C135" s="10" t="n"/>
      <c r="D135" s="16" t="n"/>
      <c r="E135" s="24" t="n"/>
      <c r="F135" s="13">
        <f>IF($B135="","",IF(COUNTIF(Katalog_Leistung,$B135)&gt;1,"! Bezeichnung doppelt",IF($A135="","! Kategorie fehlt",IF(ISNA(MATCH($A135,Kategorien,0)),"! Kategorie fehlt in Spalte I",IF(OR(AND($D135&lt;&gt;"",NOT(ISNUMBER($D135))),AND($E135&lt;&gt;"",NOT(ISNUMBER($E135)))),"! Preis oder Zeit ist keine Zahl","OK")))))</f>
        <v/>
      </c>
      <c r="H135" s="10" t="n"/>
      <c r="I135" s="10" t="n"/>
    </row>
    <row r="136">
      <c r="A136" s="10" t="n"/>
      <c r="B136" s="10" t="n"/>
      <c r="C136" s="10" t="n"/>
      <c r="D136" s="16" t="n"/>
      <c r="E136" s="24" t="n"/>
      <c r="F136" s="13">
        <f>IF($B136="","",IF(COUNTIF(Katalog_Leistung,$B136)&gt;1,"! Bezeichnung doppelt",IF($A136="","! Kategorie fehlt",IF(ISNA(MATCH($A136,Kategorien,0)),"! Kategorie fehlt in Spalte I",IF(OR(AND($D136&lt;&gt;"",NOT(ISNUMBER($D136))),AND($E136&lt;&gt;"",NOT(ISNUMBER($E136)))),"! Preis oder Zeit ist keine Zahl","OK")))))</f>
        <v/>
      </c>
      <c r="H136" s="10" t="n"/>
      <c r="I136" s="10" t="n"/>
    </row>
    <row r="137">
      <c r="A137" s="10" t="n"/>
      <c r="B137" s="10" t="n"/>
      <c r="C137" s="10" t="n"/>
      <c r="D137" s="16" t="n"/>
      <c r="E137" s="24" t="n"/>
      <c r="F137" s="13">
        <f>IF($B137="","",IF(COUNTIF(Katalog_Leistung,$B137)&gt;1,"! Bezeichnung doppelt",IF($A137="","! Kategorie fehlt",IF(ISNA(MATCH($A137,Kategorien,0)),"! Kategorie fehlt in Spalte I",IF(OR(AND($D137&lt;&gt;"",NOT(ISNUMBER($D137))),AND($E137&lt;&gt;"",NOT(ISNUMBER($E137)))),"! Preis oder Zeit ist keine Zahl","OK")))))</f>
        <v/>
      </c>
      <c r="H137" s="10" t="n"/>
      <c r="I137" s="10" t="n"/>
    </row>
    <row r="138">
      <c r="A138" s="10" t="n"/>
      <c r="B138" s="10" t="n"/>
      <c r="C138" s="10" t="n"/>
      <c r="D138" s="16" t="n"/>
      <c r="E138" s="24" t="n"/>
      <c r="F138" s="13">
        <f>IF($B138="","",IF(COUNTIF(Katalog_Leistung,$B138)&gt;1,"! Bezeichnung doppelt",IF($A138="","! Kategorie fehlt",IF(ISNA(MATCH($A138,Kategorien,0)),"! Kategorie fehlt in Spalte I",IF(OR(AND($D138&lt;&gt;"",NOT(ISNUMBER($D138))),AND($E138&lt;&gt;"",NOT(ISNUMBER($E138)))),"! Preis oder Zeit ist keine Zahl","OK")))))</f>
        <v/>
      </c>
      <c r="H138" s="10" t="n"/>
      <c r="I138" s="10" t="n"/>
    </row>
    <row r="139">
      <c r="A139" s="10" t="n"/>
      <c r="B139" s="10" t="n"/>
      <c r="C139" s="10" t="n"/>
      <c r="D139" s="16" t="n"/>
      <c r="E139" s="24" t="n"/>
      <c r="F139" s="13">
        <f>IF($B139="","",IF(COUNTIF(Katalog_Leistung,$B139)&gt;1,"! Bezeichnung doppelt",IF($A139="","! Kategorie fehlt",IF(ISNA(MATCH($A139,Kategorien,0)),"! Kategorie fehlt in Spalte I",IF(OR(AND($D139&lt;&gt;"",NOT(ISNUMBER($D139))),AND($E139&lt;&gt;"",NOT(ISNUMBER($E139)))),"! Preis oder Zeit ist keine Zahl","OK")))))</f>
        <v/>
      </c>
      <c r="H139" s="10" t="n"/>
      <c r="I139" s="10" t="n"/>
    </row>
    <row r="140">
      <c r="A140" s="10" t="n"/>
      <c r="B140" s="10" t="n"/>
      <c r="C140" s="10" t="n"/>
      <c r="D140" s="16" t="n"/>
      <c r="E140" s="24" t="n"/>
      <c r="F140" s="13">
        <f>IF($B140="","",IF(COUNTIF(Katalog_Leistung,$B140)&gt;1,"! Bezeichnung doppelt",IF($A140="","! Kategorie fehlt",IF(ISNA(MATCH($A140,Kategorien,0)),"! Kategorie fehlt in Spalte I",IF(OR(AND($D140&lt;&gt;"",NOT(ISNUMBER($D140))),AND($E140&lt;&gt;"",NOT(ISNUMBER($E140)))),"! Preis oder Zeit ist keine Zahl","OK")))))</f>
        <v/>
      </c>
      <c r="H140" s="10" t="n"/>
      <c r="I140" s="10" t="n"/>
    </row>
    <row r="141">
      <c r="A141" s="10" t="n"/>
      <c r="B141" s="10" t="n"/>
      <c r="C141" s="10" t="n"/>
      <c r="D141" s="16" t="n"/>
      <c r="E141" s="24" t="n"/>
      <c r="F141" s="13">
        <f>IF($B141="","",IF(COUNTIF(Katalog_Leistung,$B141)&gt;1,"! Bezeichnung doppelt",IF($A141="","! Kategorie fehlt",IF(ISNA(MATCH($A141,Kategorien,0)),"! Kategorie fehlt in Spalte I",IF(OR(AND($D141&lt;&gt;"",NOT(ISNUMBER($D141))),AND($E141&lt;&gt;"",NOT(ISNUMBER($E141)))),"! Preis oder Zeit ist keine Zahl","OK")))))</f>
        <v/>
      </c>
      <c r="H141" s="10" t="n"/>
      <c r="I141" s="10" t="n"/>
    </row>
    <row r="142">
      <c r="A142" s="10" t="n"/>
      <c r="B142" s="10" t="n"/>
      <c r="C142" s="10" t="n"/>
      <c r="D142" s="16" t="n"/>
      <c r="E142" s="24" t="n"/>
      <c r="F142" s="13">
        <f>IF($B142="","",IF(COUNTIF(Katalog_Leistung,$B142)&gt;1,"! Bezeichnung doppelt",IF($A142="","! Kategorie fehlt",IF(ISNA(MATCH($A142,Kategorien,0)),"! Kategorie fehlt in Spalte I",IF(OR(AND($D142&lt;&gt;"",NOT(ISNUMBER($D142))),AND($E142&lt;&gt;"",NOT(ISNUMBER($E142)))),"! Preis oder Zeit ist keine Zahl","OK")))))</f>
        <v/>
      </c>
      <c r="H142" s="10" t="n"/>
      <c r="I142" s="10" t="n"/>
    </row>
    <row r="143">
      <c r="A143" s="10" t="n"/>
      <c r="B143" s="10" t="n"/>
      <c r="C143" s="10" t="n"/>
      <c r="D143" s="16" t="n"/>
      <c r="E143" s="24" t="n"/>
      <c r="F143" s="13">
        <f>IF($B143="","",IF(COUNTIF(Katalog_Leistung,$B143)&gt;1,"! Bezeichnung doppelt",IF($A143="","! Kategorie fehlt",IF(ISNA(MATCH($A143,Kategorien,0)),"! Kategorie fehlt in Spalte I",IF(OR(AND($D143&lt;&gt;"",NOT(ISNUMBER($D143))),AND($E143&lt;&gt;"",NOT(ISNUMBER($E143)))),"! Preis oder Zeit ist keine Zahl","OK")))))</f>
        <v/>
      </c>
      <c r="H143" s="10" t="n"/>
      <c r="I143" s="10" t="n"/>
    </row>
    <row r="144">
      <c r="A144" s="10" t="n"/>
      <c r="B144" s="10" t="n"/>
      <c r="C144" s="10" t="n"/>
      <c r="D144" s="16" t="n"/>
      <c r="E144" s="24" t="n"/>
      <c r="F144" s="13">
        <f>IF($B144="","",IF(COUNTIF(Katalog_Leistung,$B144)&gt;1,"! Bezeichnung doppelt",IF($A144="","! Kategorie fehlt",IF(ISNA(MATCH($A144,Kategorien,0)),"! Kategorie fehlt in Spalte I",IF(OR(AND($D144&lt;&gt;"",NOT(ISNUMBER($D144))),AND($E144&lt;&gt;"",NOT(ISNUMBER($E144)))),"! Preis oder Zeit ist keine Zahl","OK")))))</f>
        <v/>
      </c>
      <c r="H144" s="10" t="n"/>
      <c r="I144" s="10" t="n"/>
    </row>
    <row r="145">
      <c r="A145" s="10" t="n"/>
      <c r="B145" s="10" t="n"/>
      <c r="C145" s="10" t="n"/>
      <c r="D145" s="16" t="n"/>
      <c r="E145" s="24" t="n"/>
      <c r="F145" s="13">
        <f>IF($B145="","",IF(COUNTIF(Katalog_Leistung,$B145)&gt;1,"! Bezeichnung doppelt",IF($A145="","! Kategorie fehlt",IF(ISNA(MATCH($A145,Kategorien,0)),"! Kategorie fehlt in Spalte I",IF(OR(AND($D145&lt;&gt;"",NOT(ISNUMBER($D145))),AND($E145&lt;&gt;"",NOT(ISNUMBER($E145)))),"! Preis oder Zeit ist keine Zahl","OK")))))</f>
        <v/>
      </c>
      <c r="H145" s="10" t="n"/>
      <c r="I145" s="10" t="n"/>
    </row>
    <row r="146">
      <c r="A146" s="10" t="n"/>
      <c r="B146" s="10" t="n"/>
      <c r="C146" s="10" t="n"/>
      <c r="D146" s="16" t="n"/>
      <c r="E146" s="24" t="n"/>
      <c r="F146" s="13">
        <f>IF($B146="","",IF(COUNTIF(Katalog_Leistung,$B146)&gt;1,"! Bezeichnung doppelt",IF($A146="","! Kategorie fehlt",IF(ISNA(MATCH($A146,Kategorien,0)),"! Kategorie fehlt in Spalte I",IF(OR(AND($D146&lt;&gt;"",NOT(ISNUMBER($D146))),AND($E146&lt;&gt;"",NOT(ISNUMBER($E146)))),"! Preis oder Zeit ist keine Zahl","OK")))))</f>
        <v/>
      </c>
      <c r="H146" s="10" t="n"/>
      <c r="I146" s="10" t="n"/>
    </row>
    <row r="147">
      <c r="A147" s="10" t="n"/>
      <c r="B147" s="10" t="n"/>
      <c r="C147" s="10" t="n"/>
      <c r="D147" s="16" t="n"/>
      <c r="E147" s="24" t="n"/>
      <c r="F147" s="13">
        <f>IF($B147="","",IF(COUNTIF(Katalog_Leistung,$B147)&gt;1,"! Bezeichnung doppelt",IF($A147="","! Kategorie fehlt",IF(ISNA(MATCH($A147,Kategorien,0)),"! Kategorie fehlt in Spalte I",IF(OR(AND($D147&lt;&gt;"",NOT(ISNUMBER($D147))),AND($E147&lt;&gt;"",NOT(ISNUMBER($E147)))),"! Preis oder Zeit ist keine Zahl","OK")))))</f>
        <v/>
      </c>
      <c r="H147" s="10" t="n"/>
      <c r="I147" s="10" t="n"/>
    </row>
    <row r="148">
      <c r="A148" s="10" t="n"/>
      <c r="B148" s="10" t="n"/>
      <c r="C148" s="10" t="n"/>
      <c r="D148" s="16" t="n"/>
      <c r="E148" s="24" t="n"/>
      <c r="F148" s="13">
        <f>IF($B148="","",IF(COUNTIF(Katalog_Leistung,$B148)&gt;1,"! Bezeichnung doppelt",IF($A148="","! Kategorie fehlt",IF(ISNA(MATCH($A148,Kategorien,0)),"! Kategorie fehlt in Spalte I",IF(OR(AND($D148&lt;&gt;"",NOT(ISNUMBER($D148))),AND($E148&lt;&gt;"",NOT(ISNUMBER($E148)))),"! Preis oder Zeit ist keine Zahl","OK")))))</f>
        <v/>
      </c>
      <c r="H148" s="10" t="n"/>
      <c r="I148" s="10" t="n"/>
    </row>
    <row r="149">
      <c r="A149" s="10" t="n"/>
      <c r="B149" s="10" t="n"/>
      <c r="C149" s="10" t="n"/>
      <c r="D149" s="16" t="n"/>
      <c r="E149" s="24" t="n"/>
      <c r="F149" s="13">
        <f>IF($B149="","",IF(COUNTIF(Katalog_Leistung,$B149)&gt;1,"! Bezeichnung doppelt",IF($A149="","! Kategorie fehlt",IF(ISNA(MATCH($A149,Kategorien,0)),"! Kategorie fehlt in Spalte I",IF(OR(AND($D149&lt;&gt;"",NOT(ISNUMBER($D149))),AND($E149&lt;&gt;"",NOT(ISNUMBER($E149)))),"! Preis oder Zeit ist keine Zahl","OK")))))</f>
        <v/>
      </c>
      <c r="H149" s="10" t="n"/>
      <c r="I149" s="10" t="n"/>
    </row>
    <row r="150">
      <c r="A150" s="10" t="n"/>
      <c r="B150" s="10" t="n"/>
      <c r="C150" s="10" t="n"/>
      <c r="D150" s="16" t="n"/>
      <c r="E150" s="24" t="n"/>
      <c r="F150" s="13">
        <f>IF($B150="","",IF(COUNTIF(Katalog_Leistung,$B150)&gt;1,"! Bezeichnung doppelt",IF($A150="","! Kategorie fehlt",IF(ISNA(MATCH($A150,Kategorien,0)),"! Kategorie fehlt in Spalte I",IF(OR(AND($D150&lt;&gt;"",NOT(ISNUMBER($D150))),AND($E150&lt;&gt;"",NOT(ISNUMBER($E150)))),"! Preis oder Zeit ist keine Zahl","OK")))))</f>
        <v/>
      </c>
      <c r="H150" s="10" t="n"/>
      <c r="I150" s="10" t="n"/>
    </row>
    <row r="151">
      <c r="A151" s="10" t="n"/>
      <c r="B151" s="10" t="n"/>
      <c r="C151" s="10" t="n"/>
      <c r="D151" s="16" t="n"/>
      <c r="E151" s="24" t="n"/>
      <c r="F151" s="13">
        <f>IF($B151="","",IF(COUNTIF(Katalog_Leistung,$B151)&gt;1,"! Bezeichnung doppelt",IF($A151="","! Kategorie fehlt",IF(ISNA(MATCH($A151,Kategorien,0)),"! Kategorie fehlt in Spalte I",IF(OR(AND($D151&lt;&gt;"",NOT(ISNUMBER($D151))),AND($E151&lt;&gt;"",NOT(ISNUMBER($E151)))),"! Preis oder Zeit ist keine Zahl","OK")))))</f>
        <v/>
      </c>
      <c r="H151" s="10" t="n"/>
      <c r="I151" s="10" t="n"/>
    </row>
    <row r="152">
      <c r="A152" s="10" t="n"/>
      <c r="B152" s="10" t="n"/>
      <c r="C152" s="10" t="n"/>
      <c r="D152" s="16" t="n"/>
      <c r="E152" s="24" t="n"/>
      <c r="F152" s="13">
        <f>IF($B152="","",IF(COUNTIF(Katalog_Leistung,$B152)&gt;1,"! Bezeichnung doppelt",IF($A152="","! Kategorie fehlt",IF(ISNA(MATCH($A152,Kategorien,0)),"! Kategorie fehlt in Spalte I",IF(OR(AND($D152&lt;&gt;"",NOT(ISNUMBER($D152))),AND($E152&lt;&gt;"",NOT(ISNUMBER($E152)))),"! Preis oder Zeit ist keine Zahl","OK")))))</f>
        <v/>
      </c>
      <c r="H152" s="10" t="n"/>
      <c r="I152" s="10" t="n"/>
    </row>
    <row r="153">
      <c r="A153" s="10" t="n"/>
      <c r="B153" s="10" t="n"/>
      <c r="C153" s="10" t="n"/>
      <c r="D153" s="16" t="n"/>
      <c r="E153" s="24" t="n"/>
      <c r="F153" s="13">
        <f>IF($B153="","",IF(COUNTIF(Katalog_Leistung,$B153)&gt;1,"! Bezeichnung doppelt",IF($A153="","! Kategorie fehlt",IF(ISNA(MATCH($A153,Kategorien,0)),"! Kategorie fehlt in Spalte I",IF(OR(AND($D153&lt;&gt;"",NOT(ISNUMBER($D153))),AND($E153&lt;&gt;"",NOT(ISNUMBER($E153)))),"! Preis oder Zeit ist keine Zahl","OK")))))</f>
        <v/>
      </c>
      <c r="H153" s="10" t="n"/>
      <c r="I153" s="10" t="n"/>
    </row>
    <row r="154">
      <c r="A154" s="10" t="n"/>
      <c r="B154" s="10" t="n"/>
      <c r="C154" s="10" t="n"/>
      <c r="D154" s="16" t="n"/>
      <c r="E154" s="24" t="n"/>
      <c r="F154" s="13">
        <f>IF($B154="","",IF(COUNTIF(Katalog_Leistung,$B154)&gt;1,"! Bezeichnung doppelt",IF($A154="","! Kategorie fehlt",IF(ISNA(MATCH($A154,Kategorien,0)),"! Kategorie fehlt in Spalte I",IF(OR(AND($D154&lt;&gt;"",NOT(ISNUMBER($D154))),AND($E154&lt;&gt;"",NOT(ISNUMBER($E154)))),"! Preis oder Zeit ist keine Zahl","OK")))))</f>
        <v/>
      </c>
      <c r="H154" s="10" t="n"/>
      <c r="I154" s="10" t="n"/>
    </row>
    <row r="155">
      <c r="A155" s="10" t="n"/>
      <c r="B155" s="10" t="n"/>
      <c r="C155" s="10" t="n"/>
      <c r="D155" s="16" t="n"/>
      <c r="E155" s="24" t="n"/>
      <c r="F155" s="13">
        <f>IF($B155="","",IF(COUNTIF(Katalog_Leistung,$B155)&gt;1,"! Bezeichnung doppelt",IF($A155="","! Kategorie fehlt",IF(ISNA(MATCH($A155,Kategorien,0)),"! Kategorie fehlt in Spalte I",IF(OR(AND($D155&lt;&gt;"",NOT(ISNUMBER($D155))),AND($E155&lt;&gt;"",NOT(ISNUMBER($E155)))),"! Preis oder Zeit ist keine Zahl","OK")))))</f>
        <v/>
      </c>
      <c r="H155" s="10" t="n"/>
      <c r="I155" s="10" t="n"/>
    </row>
    <row r="156">
      <c r="A156" s="10" t="n"/>
      <c r="B156" s="10" t="n"/>
      <c r="C156" s="10" t="n"/>
      <c r="D156" s="16" t="n"/>
      <c r="E156" s="24" t="n"/>
      <c r="F156" s="13">
        <f>IF($B156="","",IF(COUNTIF(Katalog_Leistung,$B156)&gt;1,"! Bezeichnung doppelt",IF($A156="","! Kategorie fehlt",IF(ISNA(MATCH($A156,Kategorien,0)),"! Kategorie fehlt in Spalte I",IF(OR(AND($D156&lt;&gt;"",NOT(ISNUMBER($D156))),AND($E156&lt;&gt;"",NOT(ISNUMBER($E156)))),"! Preis oder Zeit ist keine Zahl","OK")))))</f>
        <v/>
      </c>
      <c r="H156" s="10" t="n"/>
      <c r="I156" s="10" t="n"/>
    </row>
    <row r="157">
      <c r="A157" s="10" t="n"/>
      <c r="B157" s="10" t="n"/>
      <c r="C157" s="10" t="n"/>
      <c r="D157" s="16" t="n"/>
      <c r="E157" s="24" t="n"/>
      <c r="F157" s="13">
        <f>IF($B157="","",IF(COUNTIF(Katalog_Leistung,$B157)&gt;1,"! Bezeichnung doppelt",IF($A157="","! Kategorie fehlt",IF(ISNA(MATCH($A157,Kategorien,0)),"! Kategorie fehlt in Spalte I",IF(OR(AND($D157&lt;&gt;"",NOT(ISNUMBER($D157))),AND($E157&lt;&gt;"",NOT(ISNUMBER($E157)))),"! Preis oder Zeit ist keine Zahl","OK")))))</f>
        <v/>
      </c>
      <c r="H157" s="10" t="n"/>
      <c r="I157" s="10" t="n"/>
    </row>
    <row r="158">
      <c r="A158" s="10" t="n"/>
      <c r="B158" s="10" t="n"/>
      <c r="C158" s="10" t="n"/>
      <c r="D158" s="16" t="n"/>
      <c r="E158" s="24" t="n"/>
      <c r="F158" s="13">
        <f>IF($B158="","",IF(COUNTIF(Katalog_Leistung,$B158)&gt;1,"! Bezeichnung doppelt",IF($A158="","! Kategorie fehlt",IF(ISNA(MATCH($A158,Kategorien,0)),"! Kategorie fehlt in Spalte I",IF(OR(AND($D158&lt;&gt;"",NOT(ISNUMBER($D158))),AND($E158&lt;&gt;"",NOT(ISNUMBER($E158)))),"! Preis oder Zeit ist keine Zahl","OK")))))</f>
        <v/>
      </c>
      <c r="H158" s="10" t="n"/>
      <c r="I158" s="10" t="n"/>
    </row>
    <row r="159">
      <c r="A159" s="10" t="n"/>
      <c r="B159" s="10" t="n"/>
      <c r="C159" s="10" t="n"/>
      <c r="D159" s="16" t="n"/>
      <c r="E159" s="24" t="n"/>
      <c r="F159" s="13">
        <f>IF($B159="","",IF(COUNTIF(Katalog_Leistung,$B159)&gt;1,"! Bezeichnung doppelt",IF($A159="","! Kategorie fehlt",IF(ISNA(MATCH($A159,Kategorien,0)),"! Kategorie fehlt in Spalte I",IF(OR(AND($D159&lt;&gt;"",NOT(ISNUMBER($D159))),AND($E159&lt;&gt;"",NOT(ISNUMBER($E159)))),"! Preis oder Zeit ist keine Zahl","OK")))))</f>
        <v/>
      </c>
      <c r="H159" s="10" t="n"/>
      <c r="I159" s="10" t="n"/>
    </row>
    <row r="160">
      <c r="A160" s="10" t="n"/>
      <c r="B160" s="10" t="n"/>
      <c r="C160" s="10" t="n"/>
      <c r="D160" s="16" t="n"/>
      <c r="E160" s="24" t="n"/>
      <c r="F160" s="13">
        <f>IF($B160="","",IF(COUNTIF(Katalog_Leistung,$B160)&gt;1,"! Bezeichnung doppelt",IF($A160="","! Kategorie fehlt",IF(ISNA(MATCH($A160,Kategorien,0)),"! Kategorie fehlt in Spalte I",IF(OR(AND($D160&lt;&gt;"",NOT(ISNUMBER($D160))),AND($E160&lt;&gt;"",NOT(ISNUMBER($E160)))),"! Preis oder Zeit ist keine Zahl","OK")))))</f>
        <v/>
      </c>
      <c r="H160" s="10" t="n"/>
      <c r="I160" s="10" t="n"/>
    </row>
    <row r="161">
      <c r="A161" s="10" t="n"/>
      <c r="B161" s="10" t="n"/>
      <c r="C161" s="10" t="n"/>
      <c r="D161" s="16" t="n"/>
      <c r="E161" s="24" t="n"/>
      <c r="F161" s="13">
        <f>IF($B161="","",IF(COUNTIF(Katalog_Leistung,$B161)&gt;1,"! Bezeichnung doppelt",IF($A161="","! Kategorie fehlt",IF(ISNA(MATCH($A161,Kategorien,0)),"! Kategorie fehlt in Spalte I",IF(OR(AND($D161&lt;&gt;"",NOT(ISNUMBER($D161))),AND($E161&lt;&gt;"",NOT(ISNUMBER($E161)))),"! Preis oder Zeit ist keine Zahl","OK")))))</f>
        <v/>
      </c>
      <c r="H161" s="10" t="n"/>
      <c r="I161" s="10" t="n"/>
    </row>
    <row r="162">
      <c r="A162" s="10" t="n"/>
      <c r="B162" s="10" t="n"/>
      <c r="C162" s="10" t="n"/>
      <c r="D162" s="16" t="n"/>
      <c r="E162" s="24" t="n"/>
      <c r="F162" s="13">
        <f>IF($B162="","",IF(COUNTIF(Katalog_Leistung,$B162)&gt;1,"! Bezeichnung doppelt",IF($A162="","! Kategorie fehlt",IF(ISNA(MATCH($A162,Kategorien,0)),"! Kategorie fehlt in Spalte I",IF(OR(AND($D162&lt;&gt;"",NOT(ISNUMBER($D162))),AND($E162&lt;&gt;"",NOT(ISNUMBER($E162)))),"! Preis oder Zeit ist keine Zahl","OK")))))</f>
        <v/>
      </c>
      <c r="H162" s="10" t="n"/>
      <c r="I162" s="10" t="n"/>
    </row>
    <row r="163">
      <c r="A163" s="10" t="n"/>
      <c r="B163" s="10" t="n"/>
      <c r="C163" s="10" t="n"/>
      <c r="D163" s="16" t="n"/>
      <c r="E163" s="24" t="n"/>
      <c r="F163" s="13">
        <f>IF($B163="","",IF(COUNTIF(Katalog_Leistung,$B163)&gt;1,"! Bezeichnung doppelt",IF($A163="","! Kategorie fehlt",IF(ISNA(MATCH($A163,Kategorien,0)),"! Kategorie fehlt in Spalte I",IF(OR(AND($D163&lt;&gt;"",NOT(ISNUMBER($D163))),AND($E163&lt;&gt;"",NOT(ISNUMBER($E163)))),"! Preis oder Zeit ist keine Zahl","OK")))))</f>
        <v/>
      </c>
      <c r="H163" s="10" t="n"/>
      <c r="I163" s="10" t="n"/>
    </row>
    <row r="164">
      <c r="A164" s="10" t="n"/>
      <c r="B164" s="10" t="n"/>
      <c r="C164" s="10" t="n"/>
      <c r="D164" s="16" t="n"/>
      <c r="E164" s="24" t="n"/>
      <c r="F164" s="13">
        <f>IF($B164="","",IF(COUNTIF(Katalog_Leistung,$B164)&gt;1,"! Bezeichnung doppelt",IF($A164="","! Kategorie fehlt",IF(ISNA(MATCH($A164,Kategorien,0)),"! Kategorie fehlt in Spalte I",IF(OR(AND($D164&lt;&gt;"",NOT(ISNUMBER($D164))),AND($E164&lt;&gt;"",NOT(ISNUMBER($E164)))),"! Preis oder Zeit ist keine Zahl","OK")))))</f>
        <v/>
      </c>
      <c r="H164" s="10" t="n"/>
      <c r="I164" s="10" t="n"/>
    </row>
    <row r="165">
      <c r="A165" s="10" t="n"/>
      <c r="B165" s="10" t="n"/>
      <c r="C165" s="10" t="n"/>
      <c r="D165" s="16" t="n"/>
      <c r="E165" s="24" t="n"/>
      <c r="F165" s="13">
        <f>IF($B165="","",IF(COUNTIF(Katalog_Leistung,$B165)&gt;1,"! Bezeichnung doppelt",IF($A165="","! Kategorie fehlt",IF(ISNA(MATCH($A165,Kategorien,0)),"! Kategorie fehlt in Spalte I",IF(OR(AND($D165&lt;&gt;"",NOT(ISNUMBER($D165))),AND($E165&lt;&gt;"",NOT(ISNUMBER($E165)))),"! Preis oder Zeit ist keine Zahl","OK")))))</f>
        <v/>
      </c>
      <c r="H165" s="10" t="n"/>
      <c r="I165" s="10" t="n"/>
    </row>
    <row r="166">
      <c r="A166" s="10" t="n"/>
      <c r="B166" s="10" t="n"/>
      <c r="C166" s="10" t="n"/>
      <c r="D166" s="16" t="n"/>
      <c r="E166" s="24" t="n"/>
      <c r="F166" s="13">
        <f>IF($B166="","",IF(COUNTIF(Katalog_Leistung,$B166)&gt;1,"! Bezeichnung doppelt",IF($A166="","! Kategorie fehlt",IF(ISNA(MATCH($A166,Kategorien,0)),"! Kategorie fehlt in Spalte I",IF(OR(AND($D166&lt;&gt;"",NOT(ISNUMBER($D166))),AND($E166&lt;&gt;"",NOT(ISNUMBER($E166)))),"! Preis oder Zeit ist keine Zahl","OK")))))</f>
        <v/>
      </c>
      <c r="H166" s="10" t="n"/>
      <c r="I166" s="10" t="n"/>
    </row>
    <row r="167">
      <c r="A167" s="10" t="n"/>
      <c r="B167" s="10" t="n"/>
      <c r="C167" s="10" t="n"/>
      <c r="D167" s="16" t="n"/>
      <c r="E167" s="24" t="n"/>
      <c r="F167" s="13">
        <f>IF($B167="","",IF(COUNTIF(Katalog_Leistung,$B167)&gt;1,"! Bezeichnung doppelt",IF($A167="","! Kategorie fehlt",IF(ISNA(MATCH($A167,Kategorien,0)),"! Kategorie fehlt in Spalte I",IF(OR(AND($D167&lt;&gt;"",NOT(ISNUMBER($D167))),AND($E167&lt;&gt;"",NOT(ISNUMBER($E167)))),"! Preis oder Zeit ist keine Zahl","OK")))))</f>
        <v/>
      </c>
      <c r="H167" s="10" t="n"/>
      <c r="I167" s="10" t="n"/>
    </row>
    <row r="168">
      <c r="A168" s="10" t="n"/>
      <c r="B168" s="10" t="n"/>
      <c r="C168" s="10" t="n"/>
      <c r="D168" s="16" t="n"/>
      <c r="E168" s="24" t="n"/>
      <c r="F168" s="13">
        <f>IF($B168="","",IF(COUNTIF(Katalog_Leistung,$B168)&gt;1,"! Bezeichnung doppelt",IF($A168="","! Kategorie fehlt",IF(ISNA(MATCH($A168,Kategorien,0)),"! Kategorie fehlt in Spalte I",IF(OR(AND($D168&lt;&gt;"",NOT(ISNUMBER($D168))),AND($E168&lt;&gt;"",NOT(ISNUMBER($E168)))),"! Preis oder Zeit ist keine Zahl","OK")))))</f>
        <v/>
      </c>
      <c r="H168" s="10" t="n"/>
      <c r="I168" s="10" t="n"/>
    </row>
    <row r="169">
      <c r="A169" s="10" t="n"/>
      <c r="B169" s="10" t="n"/>
      <c r="C169" s="10" t="n"/>
      <c r="D169" s="16" t="n"/>
      <c r="E169" s="24" t="n"/>
      <c r="F169" s="13">
        <f>IF($B169="","",IF(COUNTIF(Katalog_Leistung,$B169)&gt;1,"! Bezeichnung doppelt",IF($A169="","! Kategorie fehlt",IF(ISNA(MATCH($A169,Kategorien,0)),"! Kategorie fehlt in Spalte I",IF(OR(AND($D169&lt;&gt;"",NOT(ISNUMBER($D169))),AND($E169&lt;&gt;"",NOT(ISNUMBER($E169)))),"! Preis oder Zeit ist keine Zahl","OK")))))</f>
        <v/>
      </c>
      <c r="H169" s="10" t="n"/>
      <c r="I169" s="10" t="n"/>
    </row>
    <row r="170">
      <c r="A170" s="10" t="n"/>
      <c r="B170" s="10" t="n"/>
      <c r="C170" s="10" t="n"/>
      <c r="D170" s="16" t="n"/>
      <c r="E170" s="24" t="n"/>
      <c r="F170" s="13">
        <f>IF($B170="","",IF(COUNTIF(Katalog_Leistung,$B170)&gt;1,"! Bezeichnung doppelt",IF($A170="","! Kategorie fehlt",IF(ISNA(MATCH($A170,Kategorien,0)),"! Kategorie fehlt in Spalte I",IF(OR(AND($D170&lt;&gt;"",NOT(ISNUMBER($D170))),AND($E170&lt;&gt;"",NOT(ISNUMBER($E170)))),"! Preis oder Zeit ist keine Zahl","OK")))))</f>
        <v/>
      </c>
      <c r="H170" s="10" t="n"/>
      <c r="I170" s="10" t="n"/>
    </row>
    <row r="171">
      <c r="A171" s="10" t="n"/>
      <c r="B171" s="10" t="n"/>
      <c r="C171" s="10" t="n"/>
      <c r="D171" s="16" t="n"/>
      <c r="E171" s="24" t="n"/>
      <c r="F171" s="13">
        <f>IF($B171="","",IF(COUNTIF(Katalog_Leistung,$B171)&gt;1,"! Bezeichnung doppelt",IF($A171="","! Kategorie fehlt",IF(ISNA(MATCH($A171,Kategorien,0)),"! Kategorie fehlt in Spalte I",IF(OR(AND($D171&lt;&gt;"",NOT(ISNUMBER($D171))),AND($E171&lt;&gt;"",NOT(ISNUMBER($E171)))),"! Preis oder Zeit ist keine Zahl","OK")))))</f>
        <v/>
      </c>
      <c r="H171" s="10" t="n"/>
      <c r="I171" s="10" t="n"/>
    </row>
    <row r="172">
      <c r="A172" s="10" t="n"/>
      <c r="B172" s="10" t="n"/>
      <c r="C172" s="10" t="n"/>
      <c r="D172" s="16" t="n"/>
      <c r="E172" s="24" t="n"/>
      <c r="F172" s="13">
        <f>IF($B172="","",IF(COUNTIF(Katalog_Leistung,$B172)&gt;1,"! Bezeichnung doppelt",IF($A172="","! Kategorie fehlt",IF(ISNA(MATCH($A172,Kategorien,0)),"! Kategorie fehlt in Spalte I",IF(OR(AND($D172&lt;&gt;"",NOT(ISNUMBER($D172))),AND($E172&lt;&gt;"",NOT(ISNUMBER($E172)))),"! Preis oder Zeit ist keine Zahl","OK")))))</f>
        <v/>
      </c>
      <c r="H172" s="10" t="n"/>
      <c r="I172" s="10" t="n"/>
    </row>
    <row r="173">
      <c r="A173" s="10" t="n"/>
      <c r="B173" s="10" t="n"/>
      <c r="C173" s="10" t="n"/>
      <c r="D173" s="16" t="n"/>
      <c r="E173" s="24" t="n"/>
      <c r="F173" s="13">
        <f>IF($B173="","",IF(COUNTIF(Katalog_Leistung,$B173)&gt;1,"! Bezeichnung doppelt",IF($A173="","! Kategorie fehlt",IF(ISNA(MATCH($A173,Kategorien,0)),"! Kategorie fehlt in Spalte I",IF(OR(AND($D173&lt;&gt;"",NOT(ISNUMBER($D173))),AND($E173&lt;&gt;"",NOT(ISNUMBER($E173)))),"! Preis oder Zeit ist keine Zahl","OK")))))</f>
        <v/>
      </c>
      <c r="H173" s="10" t="n"/>
      <c r="I173" s="10" t="n"/>
    </row>
    <row r="174">
      <c r="A174" s="10" t="n"/>
      <c r="B174" s="10" t="n"/>
      <c r="C174" s="10" t="n"/>
      <c r="D174" s="16" t="n"/>
      <c r="E174" s="24" t="n"/>
      <c r="F174" s="13">
        <f>IF($B174="","",IF(COUNTIF(Katalog_Leistung,$B174)&gt;1,"! Bezeichnung doppelt",IF($A174="","! Kategorie fehlt",IF(ISNA(MATCH($A174,Kategorien,0)),"! Kategorie fehlt in Spalte I",IF(OR(AND($D174&lt;&gt;"",NOT(ISNUMBER($D174))),AND($E174&lt;&gt;"",NOT(ISNUMBER($E174)))),"! Preis oder Zeit ist keine Zahl","OK")))))</f>
        <v/>
      </c>
      <c r="H174" s="10" t="n"/>
      <c r="I174" s="10" t="n"/>
    </row>
    <row r="175">
      <c r="A175" s="10" t="n"/>
      <c r="B175" s="10" t="n"/>
      <c r="C175" s="10" t="n"/>
      <c r="D175" s="16" t="n"/>
      <c r="E175" s="24" t="n"/>
      <c r="F175" s="13">
        <f>IF($B175="","",IF(COUNTIF(Katalog_Leistung,$B175)&gt;1,"! Bezeichnung doppelt",IF($A175="","! Kategorie fehlt",IF(ISNA(MATCH($A175,Kategorien,0)),"! Kategorie fehlt in Spalte I",IF(OR(AND($D175&lt;&gt;"",NOT(ISNUMBER($D175))),AND($E175&lt;&gt;"",NOT(ISNUMBER($E175)))),"! Preis oder Zeit ist keine Zahl","OK")))))</f>
        <v/>
      </c>
      <c r="H175" s="10" t="n"/>
      <c r="I175" s="10" t="n"/>
    </row>
    <row r="176">
      <c r="A176" s="10" t="n"/>
      <c r="B176" s="10" t="n"/>
      <c r="C176" s="10" t="n"/>
      <c r="D176" s="16" t="n"/>
      <c r="E176" s="24" t="n"/>
      <c r="F176" s="13">
        <f>IF($B176="","",IF(COUNTIF(Katalog_Leistung,$B176)&gt;1,"! Bezeichnung doppelt",IF($A176="","! Kategorie fehlt",IF(ISNA(MATCH($A176,Kategorien,0)),"! Kategorie fehlt in Spalte I",IF(OR(AND($D176&lt;&gt;"",NOT(ISNUMBER($D176))),AND($E176&lt;&gt;"",NOT(ISNUMBER($E176)))),"! Preis oder Zeit ist keine Zahl","OK")))))</f>
        <v/>
      </c>
      <c r="H176" s="10" t="n"/>
      <c r="I176" s="10" t="n"/>
    </row>
    <row r="177">
      <c r="A177" s="10" t="n"/>
      <c r="B177" s="10" t="n"/>
      <c r="C177" s="10" t="n"/>
      <c r="D177" s="16" t="n"/>
      <c r="E177" s="24" t="n"/>
      <c r="F177" s="13">
        <f>IF($B177="","",IF(COUNTIF(Katalog_Leistung,$B177)&gt;1,"! Bezeichnung doppelt",IF($A177="","! Kategorie fehlt",IF(ISNA(MATCH($A177,Kategorien,0)),"! Kategorie fehlt in Spalte I",IF(OR(AND($D177&lt;&gt;"",NOT(ISNUMBER($D177))),AND($E177&lt;&gt;"",NOT(ISNUMBER($E177)))),"! Preis oder Zeit ist keine Zahl","OK")))))</f>
        <v/>
      </c>
      <c r="H177" s="10" t="n"/>
      <c r="I177" s="10" t="n"/>
    </row>
    <row r="178">
      <c r="A178" s="10" t="n"/>
      <c r="B178" s="10" t="n"/>
      <c r="C178" s="10" t="n"/>
      <c r="D178" s="16" t="n"/>
      <c r="E178" s="24" t="n"/>
      <c r="F178" s="13">
        <f>IF($B178="","",IF(COUNTIF(Katalog_Leistung,$B178)&gt;1,"! Bezeichnung doppelt",IF($A178="","! Kategorie fehlt",IF(ISNA(MATCH($A178,Kategorien,0)),"! Kategorie fehlt in Spalte I",IF(OR(AND($D178&lt;&gt;"",NOT(ISNUMBER($D178))),AND($E178&lt;&gt;"",NOT(ISNUMBER($E178)))),"! Preis oder Zeit ist keine Zahl","OK")))))</f>
        <v/>
      </c>
      <c r="H178" s="10" t="n"/>
      <c r="I178" s="10" t="n"/>
    </row>
    <row r="179">
      <c r="A179" s="10" t="n"/>
      <c r="B179" s="10" t="n"/>
      <c r="C179" s="10" t="n"/>
      <c r="D179" s="16" t="n"/>
      <c r="E179" s="24" t="n"/>
      <c r="F179" s="13">
        <f>IF($B179="","",IF(COUNTIF(Katalog_Leistung,$B179)&gt;1,"! Bezeichnung doppelt",IF($A179="","! Kategorie fehlt",IF(ISNA(MATCH($A179,Kategorien,0)),"! Kategorie fehlt in Spalte I",IF(OR(AND($D179&lt;&gt;"",NOT(ISNUMBER($D179))),AND($E179&lt;&gt;"",NOT(ISNUMBER($E179)))),"! Preis oder Zeit ist keine Zahl","OK")))))</f>
        <v/>
      </c>
      <c r="H179" s="10" t="n"/>
      <c r="I179" s="10" t="n"/>
    </row>
    <row r="180">
      <c r="A180" s="10" t="n"/>
      <c r="B180" s="10" t="n"/>
      <c r="C180" s="10" t="n"/>
      <c r="D180" s="16" t="n"/>
      <c r="E180" s="24" t="n"/>
      <c r="F180" s="13">
        <f>IF($B180="","",IF(COUNTIF(Katalog_Leistung,$B180)&gt;1,"! Bezeichnung doppelt",IF($A180="","! Kategorie fehlt",IF(ISNA(MATCH($A180,Kategorien,0)),"! Kategorie fehlt in Spalte I",IF(OR(AND($D180&lt;&gt;"",NOT(ISNUMBER($D180))),AND($E180&lt;&gt;"",NOT(ISNUMBER($E180)))),"! Preis oder Zeit ist keine Zahl","OK")))))</f>
        <v/>
      </c>
      <c r="H180" s="10" t="n"/>
      <c r="I180" s="10" t="n"/>
    </row>
    <row r="181">
      <c r="A181" s="10" t="n"/>
      <c r="B181" s="10" t="n"/>
      <c r="C181" s="10" t="n"/>
      <c r="D181" s="16" t="n"/>
      <c r="E181" s="24" t="n"/>
      <c r="F181" s="13">
        <f>IF($B181="","",IF(COUNTIF(Katalog_Leistung,$B181)&gt;1,"! Bezeichnung doppelt",IF($A181="","! Kategorie fehlt",IF(ISNA(MATCH($A181,Kategorien,0)),"! Kategorie fehlt in Spalte I",IF(OR(AND($D181&lt;&gt;"",NOT(ISNUMBER($D181))),AND($E181&lt;&gt;"",NOT(ISNUMBER($E181)))),"! Preis oder Zeit ist keine Zahl","OK")))))</f>
        <v/>
      </c>
      <c r="H181" s="10" t="n"/>
      <c r="I181" s="10" t="n"/>
    </row>
    <row r="182">
      <c r="A182" s="10" t="n"/>
      <c r="B182" s="10" t="n"/>
      <c r="C182" s="10" t="n"/>
      <c r="D182" s="16" t="n"/>
      <c r="E182" s="24" t="n"/>
      <c r="F182" s="13">
        <f>IF($B182="","",IF(COUNTIF(Katalog_Leistung,$B182)&gt;1,"! Bezeichnung doppelt",IF($A182="","! Kategorie fehlt",IF(ISNA(MATCH($A182,Kategorien,0)),"! Kategorie fehlt in Spalte I",IF(OR(AND($D182&lt;&gt;"",NOT(ISNUMBER($D182))),AND($E182&lt;&gt;"",NOT(ISNUMBER($E182)))),"! Preis oder Zeit ist keine Zahl","OK")))))</f>
        <v/>
      </c>
      <c r="H182" s="10" t="n"/>
      <c r="I182" s="10" t="n"/>
    </row>
    <row r="183">
      <c r="A183" s="10" t="n"/>
      <c r="B183" s="10" t="n"/>
      <c r="C183" s="10" t="n"/>
      <c r="D183" s="16" t="n"/>
      <c r="E183" s="24" t="n"/>
      <c r="F183" s="13">
        <f>IF($B183="","",IF(COUNTIF(Katalog_Leistung,$B183)&gt;1,"! Bezeichnung doppelt",IF($A183="","! Kategorie fehlt",IF(ISNA(MATCH($A183,Kategorien,0)),"! Kategorie fehlt in Spalte I",IF(OR(AND($D183&lt;&gt;"",NOT(ISNUMBER($D183))),AND($E183&lt;&gt;"",NOT(ISNUMBER($E183)))),"! Preis oder Zeit ist keine Zahl","OK")))))</f>
        <v/>
      </c>
      <c r="H183" s="10" t="n"/>
      <c r="I183" s="10" t="n"/>
    </row>
    <row r="184">
      <c r="A184" s="10" t="n"/>
      <c r="B184" s="10" t="n"/>
      <c r="C184" s="10" t="n"/>
      <c r="D184" s="16" t="n"/>
      <c r="E184" s="24" t="n"/>
      <c r="F184" s="13">
        <f>IF($B184="","",IF(COUNTIF(Katalog_Leistung,$B184)&gt;1,"! Bezeichnung doppelt",IF($A184="","! Kategorie fehlt",IF(ISNA(MATCH($A184,Kategorien,0)),"! Kategorie fehlt in Spalte I",IF(OR(AND($D184&lt;&gt;"",NOT(ISNUMBER($D184))),AND($E184&lt;&gt;"",NOT(ISNUMBER($E184)))),"! Preis oder Zeit ist keine Zahl","OK")))))</f>
        <v/>
      </c>
      <c r="H184" s="10" t="n"/>
      <c r="I184" s="10" t="n"/>
    </row>
    <row r="185">
      <c r="A185" s="10" t="n"/>
      <c r="B185" s="10" t="n"/>
      <c r="C185" s="10" t="n"/>
      <c r="D185" s="16" t="n"/>
      <c r="E185" s="24" t="n"/>
      <c r="F185" s="13">
        <f>IF($B185="","",IF(COUNTIF(Katalog_Leistung,$B185)&gt;1,"! Bezeichnung doppelt",IF($A185="","! Kategorie fehlt",IF(ISNA(MATCH($A185,Kategorien,0)),"! Kategorie fehlt in Spalte I",IF(OR(AND($D185&lt;&gt;"",NOT(ISNUMBER($D185))),AND($E185&lt;&gt;"",NOT(ISNUMBER($E185)))),"! Preis oder Zeit ist keine Zahl","OK")))))</f>
        <v/>
      </c>
      <c r="H185" s="10" t="n"/>
      <c r="I185" s="10" t="n"/>
    </row>
    <row r="186">
      <c r="A186" s="10" t="n"/>
      <c r="B186" s="10" t="n"/>
      <c r="C186" s="10" t="n"/>
      <c r="D186" s="16" t="n"/>
      <c r="E186" s="24" t="n"/>
      <c r="F186" s="13">
        <f>IF($B186="","",IF(COUNTIF(Katalog_Leistung,$B186)&gt;1,"! Bezeichnung doppelt",IF($A186="","! Kategorie fehlt",IF(ISNA(MATCH($A186,Kategorien,0)),"! Kategorie fehlt in Spalte I",IF(OR(AND($D186&lt;&gt;"",NOT(ISNUMBER($D186))),AND($E186&lt;&gt;"",NOT(ISNUMBER($E186)))),"! Preis oder Zeit ist keine Zahl","OK")))))</f>
        <v/>
      </c>
      <c r="H186" s="10" t="n"/>
      <c r="I186" s="10" t="n"/>
    </row>
    <row r="187">
      <c r="A187" s="10" t="n"/>
      <c r="B187" s="10" t="n"/>
      <c r="C187" s="10" t="n"/>
      <c r="D187" s="16" t="n"/>
      <c r="E187" s="24" t="n"/>
      <c r="F187" s="13">
        <f>IF($B187="","",IF(COUNTIF(Katalog_Leistung,$B187)&gt;1,"! Bezeichnung doppelt",IF($A187="","! Kategorie fehlt",IF(ISNA(MATCH($A187,Kategorien,0)),"! Kategorie fehlt in Spalte I",IF(OR(AND($D187&lt;&gt;"",NOT(ISNUMBER($D187))),AND($E187&lt;&gt;"",NOT(ISNUMBER($E187)))),"! Preis oder Zeit ist keine Zahl","OK")))))</f>
        <v/>
      </c>
      <c r="H187" s="10" t="n"/>
      <c r="I187" s="10" t="n"/>
    </row>
    <row r="188">
      <c r="A188" s="10" t="n"/>
      <c r="B188" s="10" t="n"/>
      <c r="C188" s="10" t="n"/>
      <c r="D188" s="16" t="n"/>
      <c r="E188" s="24" t="n"/>
      <c r="F188" s="13">
        <f>IF($B188="","",IF(COUNTIF(Katalog_Leistung,$B188)&gt;1,"! Bezeichnung doppelt",IF($A188="","! Kategorie fehlt",IF(ISNA(MATCH($A188,Kategorien,0)),"! Kategorie fehlt in Spalte I",IF(OR(AND($D188&lt;&gt;"",NOT(ISNUMBER($D188))),AND($E188&lt;&gt;"",NOT(ISNUMBER($E188)))),"! Preis oder Zeit ist keine Zahl","OK")))))</f>
        <v/>
      </c>
      <c r="H188" s="10" t="n"/>
      <c r="I188" s="10" t="n"/>
    </row>
    <row r="189">
      <c r="A189" s="10" t="n"/>
      <c r="B189" s="10" t="n"/>
      <c r="C189" s="10" t="n"/>
      <c r="D189" s="16" t="n"/>
      <c r="E189" s="24" t="n"/>
      <c r="F189" s="13">
        <f>IF($B189="","",IF(COUNTIF(Katalog_Leistung,$B189)&gt;1,"! Bezeichnung doppelt",IF($A189="","! Kategorie fehlt",IF(ISNA(MATCH($A189,Kategorien,0)),"! Kategorie fehlt in Spalte I",IF(OR(AND($D189&lt;&gt;"",NOT(ISNUMBER($D189))),AND($E189&lt;&gt;"",NOT(ISNUMBER($E189)))),"! Preis oder Zeit ist keine Zahl","OK")))))</f>
        <v/>
      </c>
      <c r="H189" s="10" t="n"/>
      <c r="I189" s="10" t="n"/>
    </row>
    <row r="190">
      <c r="A190" s="10" t="n"/>
      <c r="B190" s="10" t="n"/>
      <c r="C190" s="10" t="n"/>
      <c r="D190" s="16" t="n"/>
      <c r="E190" s="24" t="n"/>
      <c r="F190" s="13">
        <f>IF($B190="","",IF(COUNTIF(Katalog_Leistung,$B190)&gt;1,"! Bezeichnung doppelt",IF($A190="","! Kategorie fehlt",IF(ISNA(MATCH($A190,Kategorien,0)),"! Kategorie fehlt in Spalte I",IF(OR(AND($D190&lt;&gt;"",NOT(ISNUMBER($D190))),AND($E190&lt;&gt;"",NOT(ISNUMBER($E190)))),"! Preis oder Zeit ist keine Zahl","OK")))))</f>
        <v/>
      </c>
      <c r="H190" s="10" t="n"/>
      <c r="I190" s="10" t="n"/>
    </row>
    <row r="191">
      <c r="A191" s="10" t="n"/>
      <c r="B191" s="10" t="n"/>
      <c r="C191" s="10" t="n"/>
      <c r="D191" s="16" t="n"/>
      <c r="E191" s="24" t="n"/>
      <c r="F191" s="13">
        <f>IF($B191="","",IF(COUNTIF(Katalog_Leistung,$B191)&gt;1,"! Bezeichnung doppelt",IF($A191="","! Kategorie fehlt",IF(ISNA(MATCH($A191,Kategorien,0)),"! Kategorie fehlt in Spalte I",IF(OR(AND($D191&lt;&gt;"",NOT(ISNUMBER($D191))),AND($E191&lt;&gt;"",NOT(ISNUMBER($E191)))),"! Preis oder Zeit ist keine Zahl","OK")))))</f>
        <v/>
      </c>
      <c r="H191" s="10" t="n"/>
      <c r="I191" s="10" t="n"/>
    </row>
    <row r="192">
      <c r="A192" s="10" t="n"/>
      <c r="B192" s="10" t="n"/>
      <c r="C192" s="10" t="n"/>
      <c r="D192" s="16" t="n"/>
      <c r="E192" s="24" t="n"/>
      <c r="F192" s="13">
        <f>IF($B192="","",IF(COUNTIF(Katalog_Leistung,$B192)&gt;1,"! Bezeichnung doppelt",IF($A192="","! Kategorie fehlt",IF(ISNA(MATCH($A192,Kategorien,0)),"! Kategorie fehlt in Spalte I",IF(OR(AND($D192&lt;&gt;"",NOT(ISNUMBER($D192))),AND($E192&lt;&gt;"",NOT(ISNUMBER($E192)))),"! Preis oder Zeit ist keine Zahl","OK")))))</f>
        <v/>
      </c>
      <c r="H192" s="10" t="n"/>
      <c r="I192" s="10" t="n"/>
    </row>
    <row r="193">
      <c r="A193" s="10" t="n"/>
      <c r="B193" s="10" t="n"/>
      <c r="C193" s="10" t="n"/>
      <c r="D193" s="16" t="n"/>
      <c r="E193" s="24" t="n"/>
      <c r="F193" s="13">
        <f>IF($B193="","",IF(COUNTIF(Katalog_Leistung,$B193)&gt;1,"! Bezeichnung doppelt",IF($A193="","! Kategorie fehlt",IF(ISNA(MATCH($A193,Kategorien,0)),"! Kategorie fehlt in Spalte I",IF(OR(AND($D193&lt;&gt;"",NOT(ISNUMBER($D193))),AND($E193&lt;&gt;"",NOT(ISNUMBER($E193)))),"! Preis oder Zeit ist keine Zahl","OK")))))</f>
        <v/>
      </c>
      <c r="H193" s="10" t="n"/>
      <c r="I193" s="10" t="n"/>
    </row>
    <row r="194">
      <c r="A194" s="10" t="n"/>
      <c r="B194" s="10" t="n"/>
      <c r="C194" s="10" t="n"/>
      <c r="D194" s="16" t="n"/>
      <c r="E194" s="24" t="n"/>
      <c r="F194" s="13">
        <f>IF($B194="","",IF(COUNTIF(Katalog_Leistung,$B194)&gt;1,"! Bezeichnung doppelt",IF($A194="","! Kategorie fehlt",IF(ISNA(MATCH($A194,Kategorien,0)),"! Kategorie fehlt in Spalte I",IF(OR(AND($D194&lt;&gt;"",NOT(ISNUMBER($D194))),AND($E194&lt;&gt;"",NOT(ISNUMBER($E194)))),"! Preis oder Zeit ist keine Zahl","OK")))))</f>
        <v/>
      </c>
      <c r="H194" s="10" t="n"/>
      <c r="I194" s="10" t="n"/>
    </row>
    <row r="195">
      <c r="A195" s="10" t="n"/>
      <c r="B195" s="10" t="n"/>
      <c r="C195" s="10" t="n"/>
      <c r="D195" s="16" t="n"/>
      <c r="E195" s="24" t="n"/>
      <c r="F195" s="13">
        <f>IF($B195="","",IF(COUNTIF(Katalog_Leistung,$B195)&gt;1,"! Bezeichnung doppelt",IF($A195="","! Kategorie fehlt",IF(ISNA(MATCH($A195,Kategorien,0)),"! Kategorie fehlt in Spalte I",IF(OR(AND($D195&lt;&gt;"",NOT(ISNUMBER($D195))),AND($E195&lt;&gt;"",NOT(ISNUMBER($E195)))),"! Preis oder Zeit ist keine Zahl","OK")))))</f>
        <v/>
      </c>
      <c r="H195" s="10" t="n"/>
      <c r="I195" s="10" t="n"/>
    </row>
    <row r="196">
      <c r="A196" s="10" t="n"/>
      <c r="B196" s="10" t="n"/>
      <c r="C196" s="10" t="n"/>
      <c r="D196" s="16" t="n"/>
      <c r="E196" s="24" t="n"/>
      <c r="F196" s="13">
        <f>IF($B196="","",IF(COUNTIF(Katalog_Leistung,$B196)&gt;1,"! Bezeichnung doppelt",IF($A196="","! Kategorie fehlt",IF(ISNA(MATCH($A196,Kategorien,0)),"! Kategorie fehlt in Spalte I",IF(OR(AND($D196&lt;&gt;"",NOT(ISNUMBER($D196))),AND($E196&lt;&gt;"",NOT(ISNUMBER($E196)))),"! Preis oder Zeit ist keine Zahl","OK")))))</f>
        <v/>
      </c>
      <c r="H196" s="10" t="n"/>
      <c r="I196" s="10" t="n"/>
    </row>
    <row r="197">
      <c r="A197" s="10" t="n"/>
      <c r="B197" s="10" t="n"/>
      <c r="C197" s="10" t="n"/>
      <c r="D197" s="16" t="n"/>
      <c r="E197" s="24" t="n"/>
      <c r="F197" s="13">
        <f>IF($B197="","",IF(COUNTIF(Katalog_Leistung,$B197)&gt;1,"! Bezeichnung doppelt",IF($A197="","! Kategorie fehlt",IF(ISNA(MATCH($A197,Kategorien,0)),"! Kategorie fehlt in Spalte I",IF(OR(AND($D197&lt;&gt;"",NOT(ISNUMBER($D197))),AND($E197&lt;&gt;"",NOT(ISNUMBER($E197)))),"! Preis oder Zeit ist keine Zahl","OK")))))</f>
        <v/>
      </c>
      <c r="H197" s="10" t="n"/>
      <c r="I197" s="10" t="n"/>
    </row>
    <row r="198">
      <c r="A198" s="10" t="n"/>
      <c r="B198" s="10" t="n"/>
      <c r="C198" s="10" t="n"/>
      <c r="D198" s="16" t="n"/>
      <c r="E198" s="24" t="n"/>
      <c r="F198" s="13">
        <f>IF($B198="","",IF(COUNTIF(Katalog_Leistung,$B198)&gt;1,"! Bezeichnung doppelt",IF($A198="","! Kategorie fehlt",IF(ISNA(MATCH($A198,Kategorien,0)),"! Kategorie fehlt in Spalte I",IF(OR(AND($D198&lt;&gt;"",NOT(ISNUMBER($D198))),AND($E198&lt;&gt;"",NOT(ISNUMBER($E198)))),"! Preis oder Zeit ist keine Zahl","OK")))))</f>
        <v/>
      </c>
      <c r="H198" s="10" t="n"/>
      <c r="I198" s="10" t="n"/>
    </row>
    <row r="199">
      <c r="A199" s="10" t="n"/>
      <c r="B199" s="10" t="n"/>
      <c r="C199" s="10" t="n"/>
      <c r="D199" s="16" t="n"/>
      <c r="E199" s="24" t="n"/>
      <c r="F199" s="13">
        <f>IF($B199="","",IF(COUNTIF(Katalog_Leistung,$B199)&gt;1,"! Bezeichnung doppelt",IF($A199="","! Kategorie fehlt",IF(ISNA(MATCH($A199,Kategorien,0)),"! Kategorie fehlt in Spalte I",IF(OR(AND($D199&lt;&gt;"",NOT(ISNUMBER($D199))),AND($E199&lt;&gt;"",NOT(ISNUMBER($E199)))),"! Preis oder Zeit ist keine Zahl","OK")))))</f>
        <v/>
      </c>
      <c r="H199" s="10" t="n"/>
      <c r="I199" s="10" t="n"/>
    </row>
    <row r="200">
      <c r="A200" s="10" t="n"/>
      <c r="B200" s="10" t="n"/>
      <c r="C200" s="10" t="n"/>
      <c r="D200" s="16" t="n"/>
      <c r="E200" s="24" t="n"/>
      <c r="F200" s="13">
        <f>IF($B200="","",IF(COUNTIF(Katalog_Leistung,$B200)&gt;1,"! Bezeichnung doppelt",IF($A200="","! Kategorie fehlt",IF(ISNA(MATCH($A200,Kategorien,0)),"! Kategorie fehlt in Spalte I",IF(OR(AND($D200&lt;&gt;"",NOT(ISNUMBER($D200))),AND($E200&lt;&gt;"",NOT(ISNUMBER($E200)))),"! Preis oder Zeit ist keine Zahl","OK")))))</f>
        <v/>
      </c>
      <c r="H200" s="10" t="n"/>
      <c r="I200" s="10" t="n"/>
    </row>
    <row r="201">
      <c r="A201" s="10" t="n"/>
      <c r="B201" s="10" t="n"/>
      <c r="C201" s="10" t="n"/>
      <c r="D201" s="16" t="n"/>
      <c r="E201" s="24" t="n"/>
      <c r="F201" s="13">
        <f>IF($B201="","",IF(COUNTIF(Katalog_Leistung,$B201)&gt;1,"! Bezeichnung doppelt",IF($A201="","! Kategorie fehlt",IF(ISNA(MATCH($A201,Kategorien,0)),"! Kategorie fehlt in Spalte I",IF(OR(AND($D201&lt;&gt;"",NOT(ISNUMBER($D201))),AND($E201&lt;&gt;"",NOT(ISNUMBER($E201)))),"! Preis oder Zeit ist keine Zahl","OK")))))</f>
        <v/>
      </c>
      <c r="H201" s="10" t="n"/>
      <c r="I201" s="10" t="n"/>
    </row>
    <row r="202">
      <c r="A202" s="10" t="n"/>
      <c r="B202" s="10" t="n"/>
      <c r="C202" s="10" t="n"/>
      <c r="D202" s="16" t="n"/>
      <c r="E202" s="24" t="n"/>
      <c r="F202" s="13">
        <f>IF($B202="","",IF(COUNTIF(Katalog_Leistung,$B202)&gt;1,"! Bezeichnung doppelt",IF($A202="","! Kategorie fehlt",IF(ISNA(MATCH($A202,Kategorien,0)),"! Kategorie fehlt in Spalte I",IF(OR(AND($D202&lt;&gt;"",NOT(ISNUMBER($D202))),AND($E202&lt;&gt;"",NOT(ISNUMBER($E202)))),"! Preis oder Zeit ist keine Zahl","OK")))))</f>
        <v/>
      </c>
      <c r="H202" s="10" t="n"/>
      <c r="I202" s="10" t="n"/>
    </row>
    <row r="203">
      <c r="A203" s="10" t="n"/>
      <c r="B203" s="10" t="n"/>
      <c r="C203" s="10" t="n"/>
      <c r="D203" s="16" t="n"/>
      <c r="E203" s="24" t="n"/>
      <c r="F203" s="13">
        <f>IF($B203="","",IF(COUNTIF(Katalog_Leistung,$B203)&gt;1,"! Bezeichnung doppelt",IF($A203="","! Kategorie fehlt",IF(ISNA(MATCH($A203,Kategorien,0)),"! Kategorie fehlt in Spalte I",IF(OR(AND($D203&lt;&gt;"",NOT(ISNUMBER($D203))),AND($E203&lt;&gt;"",NOT(ISNUMBER($E203)))),"! Preis oder Zeit ist keine Zahl","OK")))))</f>
        <v/>
      </c>
      <c r="H203" s="10" t="n"/>
      <c r="I203" s="10" t="n"/>
    </row>
    <row r="204">
      <c r="A204" s="10" t="n"/>
      <c r="B204" s="10" t="n"/>
      <c r="C204" s="10" t="n"/>
      <c r="D204" s="16" t="n"/>
      <c r="E204" s="24" t="n"/>
      <c r="F204" s="13">
        <f>IF($B204="","",IF(COUNTIF(Katalog_Leistung,$B204)&gt;1,"! Bezeichnung doppelt",IF($A204="","! Kategorie fehlt",IF(ISNA(MATCH($A204,Kategorien,0)),"! Kategorie fehlt in Spalte I",IF(OR(AND($D204&lt;&gt;"",NOT(ISNUMBER($D204))),AND($E204&lt;&gt;"",NOT(ISNUMBER($E204)))),"! Preis oder Zeit ist keine Zahl","OK")))))</f>
        <v/>
      </c>
      <c r="H204" s="10" t="n"/>
      <c r="I204" s="10" t="n"/>
    </row>
    <row r="205">
      <c r="A205" s="10" t="n"/>
      <c r="B205" s="10" t="n"/>
      <c r="C205" s="10" t="n"/>
      <c r="D205" s="16" t="n"/>
      <c r="E205" s="24" t="n"/>
      <c r="F205" s="13">
        <f>IF($B205="","",IF(COUNTIF(Katalog_Leistung,$B205)&gt;1,"! Bezeichnung doppelt",IF($A205="","! Kategorie fehlt",IF(ISNA(MATCH($A205,Kategorien,0)),"! Kategorie fehlt in Spalte I",IF(OR(AND($D205&lt;&gt;"",NOT(ISNUMBER($D205))),AND($E205&lt;&gt;"",NOT(ISNUMBER($E205)))),"! Preis oder Zeit ist keine Zahl","OK")))))</f>
        <v/>
      </c>
      <c r="H205" s="10" t="n"/>
      <c r="I205" s="10" t="n"/>
    </row>
    <row r="206">
      <c r="A206" s="10" t="n"/>
      <c r="B206" s="10" t="n"/>
      <c r="C206" s="10" t="n"/>
      <c r="D206" s="16" t="n"/>
      <c r="E206" s="24" t="n"/>
      <c r="F206" s="13">
        <f>IF($B206="","",IF(COUNTIF(Katalog_Leistung,$B206)&gt;1,"! Bezeichnung doppelt",IF($A206="","! Kategorie fehlt",IF(ISNA(MATCH($A206,Kategorien,0)),"! Kategorie fehlt in Spalte I",IF(OR(AND($D206&lt;&gt;"",NOT(ISNUMBER($D206))),AND($E206&lt;&gt;"",NOT(ISNUMBER($E206)))),"! Preis oder Zeit ist keine Zahl","OK")))))</f>
        <v/>
      </c>
      <c r="H206" s="10" t="n"/>
      <c r="I206" s="10" t="n"/>
    </row>
    <row r="207">
      <c r="A207" s="10" t="n"/>
      <c r="B207" s="10" t="n"/>
      <c r="C207" s="10" t="n"/>
      <c r="D207" s="16" t="n"/>
      <c r="E207" s="24" t="n"/>
      <c r="F207" s="13">
        <f>IF($B207="","",IF(COUNTIF(Katalog_Leistung,$B207)&gt;1,"! Bezeichnung doppelt",IF($A207="","! Kategorie fehlt",IF(ISNA(MATCH($A207,Kategorien,0)),"! Kategorie fehlt in Spalte I",IF(OR(AND($D207&lt;&gt;"",NOT(ISNUMBER($D207))),AND($E207&lt;&gt;"",NOT(ISNUMBER($E207)))),"! Preis oder Zeit ist keine Zahl","OK")))))</f>
        <v/>
      </c>
      <c r="H207" s="10" t="n"/>
      <c r="I207" s="10" t="n"/>
    </row>
    <row r="208">
      <c r="A208" s="10" t="n"/>
      <c r="B208" s="10" t="n"/>
      <c r="C208" s="10" t="n"/>
      <c r="D208" s="16" t="n"/>
      <c r="E208" s="24" t="n"/>
      <c r="F208" s="13">
        <f>IF($B208="","",IF(COUNTIF(Katalog_Leistung,$B208)&gt;1,"! Bezeichnung doppelt",IF($A208="","! Kategorie fehlt",IF(ISNA(MATCH($A208,Kategorien,0)),"! Kategorie fehlt in Spalte I",IF(OR(AND($D208&lt;&gt;"",NOT(ISNUMBER($D208))),AND($E208&lt;&gt;"",NOT(ISNUMBER($E208)))),"! Preis oder Zeit ist keine Zahl","OK")))))</f>
        <v/>
      </c>
      <c r="H208" s="10" t="n"/>
      <c r="I208" s="10" t="n"/>
    </row>
    <row r="209">
      <c r="A209" s="10" t="n"/>
      <c r="B209" s="10" t="n"/>
      <c r="C209" s="10" t="n"/>
      <c r="D209" s="16" t="n"/>
      <c r="E209" s="24" t="n"/>
      <c r="F209" s="13">
        <f>IF($B209="","",IF(COUNTIF(Katalog_Leistung,$B209)&gt;1,"! Bezeichnung doppelt",IF($A209="","! Kategorie fehlt",IF(ISNA(MATCH($A209,Kategorien,0)),"! Kategorie fehlt in Spalte I",IF(OR(AND($D209&lt;&gt;"",NOT(ISNUMBER($D209))),AND($E209&lt;&gt;"",NOT(ISNUMBER($E209)))),"! Preis oder Zeit ist keine Zahl","OK")))))</f>
        <v/>
      </c>
      <c r="H209" s="10" t="n"/>
      <c r="I209" s="10" t="n"/>
    </row>
    <row r="210">
      <c r="A210" s="10" t="n"/>
      <c r="B210" s="10" t="n"/>
      <c r="C210" s="10" t="n"/>
      <c r="D210" s="16" t="n"/>
      <c r="E210" s="24" t="n"/>
      <c r="F210" s="13">
        <f>IF($B210="","",IF(COUNTIF(Katalog_Leistung,$B210)&gt;1,"! Bezeichnung doppelt",IF($A210="","! Kategorie fehlt",IF(ISNA(MATCH($A210,Kategorien,0)),"! Kategorie fehlt in Spalte I",IF(OR(AND($D210&lt;&gt;"",NOT(ISNUMBER($D210))),AND($E210&lt;&gt;"",NOT(ISNUMBER($E210)))),"! Preis oder Zeit ist keine Zahl","OK")))))</f>
        <v/>
      </c>
      <c r="H210" s="10" t="n"/>
      <c r="I210" s="10" t="n"/>
    </row>
    <row r="211">
      <c r="A211" s="10" t="n"/>
      <c r="B211" s="10" t="n"/>
      <c r="C211" s="10" t="n"/>
      <c r="D211" s="16" t="n"/>
      <c r="E211" s="24" t="n"/>
      <c r="F211" s="13">
        <f>IF($B211="","",IF(COUNTIF(Katalog_Leistung,$B211)&gt;1,"! Bezeichnung doppelt",IF($A211="","! Kategorie fehlt",IF(ISNA(MATCH($A211,Kategorien,0)),"! Kategorie fehlt in Spalte I",IF(OR(AND($D211&lt;&gt;"",NOT(ISNUMBER($D211))),AND($E211&lt;&gt;"",NOT(ISNUMBER($E211)))),"! Preis oder Zeit ist keine Zahl","OK")))))</f>
        <v/>
      </c>
      <c r="H211" s="10" t="n"/>
      <c r="I211" s="10" t="n"/>
    </row>
    <row r="212">
      <c r="A212" s="10" t="n"/>
      <c r="B212" s="10" t="n"/>
      <c r="C212" s="10" t="n"/>
      <c r="D212" s="16" t="n"/>
      <c r="E212" s="24" t="n"/>
      <c r="F212" s="13">
        <f>IF($B212="","",IF(COUNTIF(Katalog_Leistung,$B212)&gt;1,"! Bezeichnung doppelt",IF($A212="","! Kategorie fehlt",IF(ISNA(MATCH($A212,Kategorien,0)),"! Kategorie fehlt in Spalte I",IF(OR(AND($D212&lt;&gt;"",NOT(ISNUMBER($D212))),AND($E212&lt;&gt;"",NOT(ISNUMBER($E212)))),"! Preis oder Zeit ist keine Zahl","OK")))))</f>
        <v/>
      </c>
      <c r="H212" s="10" t="n"/>
      <c r="I212" s="10" t="n"/>
    </row>
    <row r="213">
      <c r="A213" s="10" t="n"/>
      <c r="B213" s="10" t="n"/>
      <c r="C213" s="10" t="n"/>
      <c r="D213" s="16" t="n"/>
      <c r="E213" s="24" t="n"/>
      <c r="F213" s="13">
        <f>IF($B213="","",IF(COUNTIF(Katalog_Leistung,$B213)&gt;1,"! Bezeichnung doppelt",IF($A213="","! Kategorie fehlt",IF(ISNA(MATCH($A213,Kategorien,0)),"! Kategorie fehlt in Spalte I",IF(OR(AND($D213&lt;&gt;"",NOT(ISNUMBER($D213))),AND($E213&lt;&gt;"",NOT(ISNUMBER($E213)))),"! Preis oder Zeit ist keine Zahl","OK")))))</f>
        <v/>
      </c>
      <c r="H213" s="10" t="n"/>
      <c r="I213" s="10" t="n"/>
    </row>
    <row r="214">
      <c r="A214" s="10" t="n"/>
      <c r="B214" s="10" t="n"/>
      <c r="C214" s="10" t="n"/>
      <c r="D214" s="16" t="n"/>
      <c r="E214" s="24" t="n"/>
      <c r="F214" s="13">
        <f>IF($B214="","",IF(COUNTIF(Katalog_Leistung,$B214)&gt;1,"! Bezeichnung doppelt",IF($A214="","! Kategorie fehlt",IF(ISNA(MATCH($A214,Kategorien,0)),"! Kategorie fehlt in Spalte I",IF(OR(AND($D214&lt;&gt;"",NOT(ISNUMBER($D214))),AND($E214&lt;&gt;"",NOT(ISNUMBER($E214)))),"! Preis oder Zeit ist keine Zahl","OK")))))</f>
        <v/>
      </c>
      <c r="H214" s="10" t="n"/>
      <c r="I214" s="10" t="n"/>
    </row>
    <row r="215">
      <c r="A215" s="10" t="n"/>
      <c r="B215" s="10" t="n"/>
      <c r="C215" s="10" t="n"/>
      <c r="D215" s="16" t="n"/>
      <c r="E215" s="24" t="n"/>
      <c r="F215" s="13">
        <f>IF($B215="","",IF(COUNTIF(Katalog_Leistung,$B215)&gt;1,"! Bezeichnung doppelt",IF($A215="","! Kategorie fehlt",IF(ISNA(MATCH($A215,Kategorien,0)),"! Kategorie fehlt in Spalte I",IF(OR(AND($D215&lt;&gt;"",NOT(ISNUMBER($D215))),AND($E215&lt;&gt;"",NOT(ISNUMBER($E215)))),"! Preis oder Zeit ist keine Zahl","OK")))))</f>
        <v/>
      </c>
      <c r="H215" s="10" t="n"/>
      <c r="I215" s="10" t="n"/>
    </row>
    <row r="216">
      <c r="A216" s="10" t="n"/>
      <c r="B216" s="10" t="n"/>
      <c r="C216" s="10" t="n"/>
      <c r="D216" s="16" t="n"/>
      <c r="E216" s="24" t="n"/>
      <c r="F216" s="13">
        <f>IF($B216="","",IF(COUNTIF(Katalog_Leistung,$B216)&gt;1,"! Bezeichnung doppelt",IF($A216="","! Kategorie fehlt",IF(ISNA(MATCH($A216,Kategorien,0)),"! Kategorie fehlt in Spalte I",IF(OR(AND($D216&lt;&gt;"",NOT(ISNUMBER($D216))),AND($E216&lt;&gt;"",NOT(ISNUMBER($E216)))),"! Preis oder Zeit ist keine Zahl","OK")))))</f>
        <v/>
      </c>
      <c r="H216" s="10" t="n"/>
      <c r="I216" s="10" t="n"/>
    </row>
    <row r="217">
      <c r="A217" s="10" t="n"/>
      <c r="B217" s="10" t="n"/>
      <c r="C217" s="10" t="n"/>
      <c r="D217" s="16" t="n"/>
      <c r="E217" s="24" t="n"/>
      <c r="F217" s="13">
        <f>IF($B217="","",IF(COUNTIF(Katalog_Leistung,$B217)&gt;1,"! Bezeichnung doppelt",IF($A217="","! Kategorie fehlt",IF(ISNA(MATCH($A217,Kategorien,0)),"! Kategorie fehlt in Spalte I",IF(OR(AND($D217&lt;&gt;"",NOT(ISNUMBER($D217))),AND($E217&lt;&gt;"",NOT(ISNUMBER($E217)))),"! Preis oder Zeit ist keine Zahl","OK")))))</f>
        <v/>
      </c>
      <c r="H217" s="10" t="n"/>
      <c r="I217" s="10" t="n"/>
    </row>
    <row r="218">
      <c r="A218" s="10" t="n"/>
      <c r="B218" s="10" t="n"/>
      <c r="C218" s="10" t="n"/>
      <c r="D218" s="16" t="n"/>
      <c r="E218" s="24" t="n"/>
      <c r="F218" s="13">
        <f>IF($B218="","",IF(COUNTIF(Katalog_Leistung,$B218)&gt;1,"! Bezeichnung doppelt",IF($A218="","! Kategorie fehlt",IF(ISNA(MATCH($A218,Kategorien,0)),"! Kategorie fehlt in Spalte I",IF(OR(AND($D218&lt;&gt;"",NOT(ISNUMBER($D218))),AND($E218&lt;&gt;"",NOT(ISNUMBER($E218)))),"! Preis oder Zeit ist keine Zahl","OK")))))</f>
        <v/>
      </c>
      <c r="H218" s="10" t="n"/>
      <c r="I218" s="10" t="n"/>
    </row>
    <row r="219">
      <c r="A219" s="10" t="n"/>
      <c r="B219" s="10" t="n"/>
      <c r="C219" s="10" t="n"/>
      <c r="D219" s="16" t="n"/>
      <c r="E219" s="24" t="n"/>
      <c r="F219" s="13">
        <f>IF($B219="","",IF(COUNTIF(Katalog_Leistung,$B219)&gt;1,"! Bezeichnung doppelt",IF($A219="","! Kategorie fehlt",IF(ISNA(MATCH($A219,Kategorien,0)),"! Kategorie fehlt in Spalte I",IF(OR(AND($D219&lt;&gt;"",NOT(ISNUMBER($D219))),AND($E219&lt;&gt;"",NOT(ISNUMBER($E219)))),"! Preis oder Zeit ist keine Zahl","OK")))))</f>
        <v/>
      </c>
      <c r="H219" s="10" t="n"/>
      <c r="I219" s="10" t="n"/>
    </row>
    <row r="220">
      <c r="A220" s="10" t="n"/>
      <c r="B220" s="10" t="n"/>
      <c r="C220" s="10" t="n"/>
      <c r="D220" s="16" t="n"/>
      <c r="E220" s="24" t="n"/>
      <c r="F220" s="13">
        <f>IF($B220="","",IF(COUNTIF(Katalog_Leistung,$B220)&gt;1,"! Bezeichnung doppelt",IF($A220="","! Kategorie fehlt",IF(ISNA(MATCH($A220,Kategorien,0)),"! Kategorie fehlt in Spalte I",IF(OR(AND($D220&lt;&gt;"",NOT(ISNUMBER($D220))),AND($E220&lt;&gt;"",NOT(ISNUMBER($E220)))),"! Preis oder Zeit ist keine Zahl","OK")))))</f>
        <v/>
      </c>
      <c r="H220" s="10" t="n"/>
      <c r="I220" s="10" t="n"/>
    </row>
    <row r="221">
      <c r="A221" s="10" t="n"/>
      <c r="B221" s="10" t="n"/>
      <c r="C221" s="10" t="n"/>
      <c r="D221" s="16" t="n"/>
      <c r="E221" s="24" t="n"/>
      <c r="F221" s="13">
        <f>IF($B221="","",IF(COUNTIF(Katalog_Leistung,$B221)&gt;1,"! Bezeichnung doppelt",IF($A221="","! Kategorie fehlt",IF(ISNA(MATCH($A221,Kategorien,0)),"! Kategorie fehlt in Spalte I",IF(OR(AND($D221&lt;&gt;"",NOT(ISNUMBER($D221))),AND($E221&lt;&gt;"",NOT(ISNUMBER($E221)))),"! Preis oder Zeit ist keine Zahl","OK")))))</f>
        <v/>
      </c>
      <c r="H221" s="10" t="n"/>
      <c r="I221" s="10" t="n"/>
    </row>
    <row r="222">
      <c r="A222" s="10" t="n"/>
      <c r="B222" s="10" t="n"/>
      <c r="C222" s="10" t="n"/>
      <c r="D222" s="16" t="n"/>
      <c r="E222" s="24" t="n"/>
      <c r="F222" s="13">
        <f>IF($B222="","",IF(COUNTIF(Katalog_Leistung,$B222)&gt;1,"! Bezeichnung doppelt",IF($A222="","! Kategorie fehlt",IF(ISNA(MATCH($A222,Kategorien,0)),"! Kategorie fehlt in Spalte I",IF(OR(AND($D222&lt;&gt;"",NOT(ISNUMBER($D222))),AND($E222&lt;&gt;"",NOT(ISNUMBER($E222)))),"! Preis oder Zeit ist keine Zahl","OK")))))</f>
        <v/>
      </c>
      <c r="H222" s="10" t="n"/>
      <c r="I222" s="10" t="n"/>
    </row>
    <row r="223">
      <c r="A223" s="10" t="n"/>
      <c r="B223" s="10" t="n"/>
      <c r="C223" s="10" t="n"/>
      <c r="D223" s="16" t="n"/>
      <c r="E223" s="24" t="n"/>
      <c r="F223" s="13">
        <f>IF($B223="","",IF(COUNTIF(Katalog_Leistung,$B223)&gt;1,"! Bezeichnung doppelt",IF($A223="","! Kategorie fehlt",IF(ISNA(MATCH($A223,Kategorien,0)),"! Kategorie fehlt in Spalte I",IF(OR(AND($D223&lt;&gt;"",NOT(ISNUMBER($D223))),AND($E223&lt;&gt;"",NOT(ISNUMBER($E223)))),"! Preis oder Zeit ist keine Zahl","OK")))))</f>
        <v/>
      </c>
      <c r="H223" s="10" t="n"/>
      <c r="I223" s="10" t="n"/>
    </row>
    <row r="224">
      <c r="A224" s="10" t="n"/>
      <c r="B224" s="10" t="n"/>
      <c r="C224" s="10" t="n"/>
      <c r="D224" s="16" t="n"/>
      <c r="E224" s="24" t="n"/>
      <c r="F224" s="13">
        <f>IF($B224="","",IF(COUNTIF(Katalog_Leistung,$B224)&gt;1,"! Bezeichnung doppelt",IF($A224="","! Kategorie fehlt",IF(ISNA(MATCH($A224,Kategorien,0)),"! Kategorie fehlt in Spalte I",IF(OR(AND($D224&lt;&gt;"",NOT(ISNUMBER($D224))),AND($E224&lt;&gt;"",NOT(ISNUMBER($E224)))),"! Preis oder Zeit ist keine Zahl","OK")))))</f>
        <v/>
      </c>
      <c r="H224" s="10" t="n"/>
      <c r="I224" s="10" t="n"/>
    </row>
    <row r="225">
      <c r="A225" s="10" t="n"/>
      <c r="B225" s="10" t="n"/>
      <c r="C225" s="10" t="n"/>
      <c r="D225" s="16" t="n"/>
      <c r="E225" s="24" t="n"/>
      <c r="F225" s="13">
        <f>IF($B225="","",IF(COUNTIF(Katalog_Leistung,$B225)&gt;1,"! Bezeichnung doppelt",IF($A225="","! Kategorie fehlt",IF(ISNA(MATCH($A225,Kategorien,0)),"! Kategorie fehlt in Spalte I",IF(OR(AND($D225&lt;&gt;"",NOT(ISNUMBER($D225))),AND($E225&lt;&gt;"",NOT(ISNUMBER($E225)))),"! Preis oder Zeit ist keine Zahl","OK")))))</f>
        <v/>
      </c>
      <c r="H225" s="10" t="n"/>
      <c r="I225" s="10" t="n"/>
    </row>
    <row r="226">
      <c r="A226" s="10" t="n"/>
      <c r="B226" s="10" t="n"/>
      <c r="C226" s="10" t="n"/>
      <c r="D226" s="16" t="n"/>
      <c r="E226" s="24" t="n"/>
      <c r="F226" s="13">
        <f>IF($B226="","",IF(COUNTIF(Katalog_Leistung,$B226)&gt;1,"! Bezeichnung doppelt",IF($A226="","! Kategorie fehlt",IF(ISNA(MATCH($A226,Kategorien,0)),"! Kategorie fehlt in Spalte I",IF(OR(AND($D226&lt;&gt;"",NOT(ISNUMBER($D226))),AND($E226&lt;&gt;"",NOT(ISNUMBER($E226)))),"! Preis oder Zeit ist keine Zahl","OK")))))</f>
        <v/>
      </c>
      <c r="H226" s="10" t="n"/>
      <c r="I226" s="10" t="n"/>
    </row>
    <row r="227">
      <c r="A227" s="10" t="n"/>
      <c r="B227" s="10" t="n"/>
      <c r="C227" s="10" t="n"/>
      <c r="D227" s="16" t="n"/>
      <c r="E227" s="24" t="n"/>
      <c r="F227" s="13">
        <f>IF($B227="","",IF(COUNTIF(Katalog_Leistung,$B227)&gt;1,"! Bezeichnung doppelt",IF($A227="","! Kategorie fehlt",IF(ISNA(MATCH($A227,Kategorien,0)),"! Kategorie fehlt in Spalte I",IF(OR(AND($D227&lt;&gt;"",NOT(ISNUMBER($D227))),AND($E227&lt;&gt;"",NOT(ISNUMBER($E227)))),"! Preis oder Zeit ist keine Zahl","OK")))))</f>
        <v/>
      </c>
      <c r="H227" s="10" t="n"/>
      <c r="I227" s="10" t="n"/>
    </row>
    <row r="228">
      <c r="A228" s="10" t="n"/>
      <c r="B228" s="10" t="n"/>
      <c r="C228" s="10" t="n"/>
      <c r="D228" s="16" t="n"/>
      <c r="E228" s="24" t="n"/>
      <c r="F228" s="13">
        <f>IF($B228="","",IF(COUNTIF(Katalog_Leistung,$B228)&gt;1,"! Bezeichnung doppelt",IF($A228="","! Kategorie fehlt",IF(ISNA(MATCH($A228,Kategorien,0)),"! Kategorie fehlt in Spalte I",IF(OR(AND($D228&lt;&gt;"",NOT(ISNUMBER($D228))),AND($E228&lt;&gt;"",NOT(ISNUMBER($E228)))),"! Preis oder Zeit ist keine Zahl","OK")))))</f>
        <v/>
      </c>
      <c r="H228" s="10" t="n"/>
      <c r="I228" s="10" t="n"/>
    </row>
    <row r="229">
      <c r="A229" s="10" t="n"/>
      <c r="B229" s="10" t="n"/>
      <c r="C229" s="10" t="n"/>
      <c r="D229" s="16" t="n"/>
      <c r="E229" s="24" t="n"/>
      <c r="F229" s="13">
        <f>IF($B229="","",IF(COUNTIF(Katalog_Leistung,$B229)&gt;1,"! Bezeichnung doppelt",IF($A229="","! Kategorie fehlt",IF(ISNA(MATCH($A229,Kategorien,0)),"! Kategorie fehlt in Spalte I",IF(OR(AND($D229&lt;&gt;"",NOT(ISNUMBER($D229))),AND($E229&lt;&gt;"",NOT(ISNUMBER($E229)))),"! Preis oder Zeit ist keine Zahl","OK")))))</f>
        <v/>
      </c>
      <c r="H229" s="10" t="n"/>
      <c r="I229" s="10" t="n"/>
    </row>
    <row r="230">
      <c r="A230" s="10" t="n"/>
      <c r="B230" s="10" t="n"/>
      <c r="C230" s="10" t="n"/>
      <c r="D230" s="16" t="n"/>
      <c r="E230" s="24" t="n"/>
      <c r="F230" s="13">
        <f>IF($B230="","",IF(COUNTIF(Katalog_Leistung,$B230)&gt;1,"! Bezeichnung doppelt",IF($A230="","! Kategorie fehlt",IF(ISNA(MATCH($A230,Kategorien,0)),"! Kategorie fehlt in Spalte I",IF(OR(AND($D230&lt;&gt;"",NOT(ISNUMBER($D230))),AND($E230&lt;&gt;"",NOT(ISNUMBER($E230)))),"! Preis oder Zeit ist keine Zahl","OK")))))</f>
        <v/>
      </c>
      <c r="H230" s="10" t="n"/>
      <c r="I230" s="10" t="n"/>
    </row>
    <row r="231">
      <c r="A231" s="10" t="n"/>
      <c r="B231" s="10" t="n"/>
      <c r="C231" s="10" t="n"/>
      <c r="D231" s="16" t="n"/>
      <c r="E231" s="24" t="n"/>
      <c r="F231" s="13">
        <f>IF($B231="","",IF(COUNTIF(Katalog_Leistung,$B231)&gt;1,"! Bezeichnung doppelt",IF($A231="","! Kategorie fehlt",IF(ISNA(MATCH($A231,Kategorien,0)),"! Kategorie fehlt in Spalte I",IF(OR(AND($D231&lt;&gt;"",NOT(ISNUMBER($D231))),AND($E231&lt;&gt;"",NOT(ISNUMBER($E231)))),"! Preis oder Zeit ist keine Zahl","OK")))))</f>
        <v/>
      </c>
      <c r="H231" s="10" t="n"/>
      <c r="I231" s="10" t="n"/>
    </row>
    <row r="232">
      <c r="A232" s="10" t="n"/>
      <c r="B232" s="10" t="n"/>
      <c r="C232" s="10" t="n"/>
      <c r="D232" s="16" t="n"/>
      <c r="E232" s="24" t="n"/>
      <c r="F232" s="13">
        <f>IF($B232="","",IF(COUNTIF(Katalog_Leistung,$B232)&gt;1,"! Bezeichnung doppelt",IF($A232="","! Kategorie fehlt",IF(ISNA(MATCH($A232,Kategorien,0)),"! Kategorie fehlt in Spalte I",IF(OR(AND($D232&lt;&gt;"",NOT(ISNUMBER($D232))),AND($E232&lt;&gt;"",NOT(ISNUMBER($E232)))),"! Preis oder Zeit ist keine Zahl","OK")))))</f>
        <v/>
      </c>
      <c r="H232" s="10" t="n"/>
      <c r="I232" s="10" t="n"/>
    </row>
    <row r="233">
      <c r="A233" s="10" t="n"/>
      <c r="B233" s="10" t="n"/>
      <c r="C233" s="10" t="n"/>
      <c r="D233" s="16" t="n"/>
      <c r="E233" s="24" t="n"/>
      <c r="F233" s="13">
        <f>IF($B233="","",IF(COUNTIF(Katalog_Leistung,$B233)&gt;1,"! Bezeichnung doppelt",IF($A233="","! Kategorie fehlt",IF(ISNA(MATCH($A233,Kategorien,0)),"! Kategorie fehlt in Spalte I",IF(OR(AND($D233&lt;&gt;"",NOT(ISNUMBER($D233))),AND($E233&lt;&gt;"",NOT(ISNUMBER($E233)))),"! Preis oder Zeit ist keine Zahl","OK")))))</f>
        <v/>
      </c>
      <c r="H233" s="10" t="n"/>
      <c r="I233" s="10" t="n"/>
    </row>
    <row r="234">
      <c r="A234" s="10" t="n"/>
      <c r="B234" s="10" t="n"/>
      <c r="C234" s="10" t="n"/>
      <c r="D234" s="16" t="n"/>
      <c r="E234" s="24" t="n"/>
      <c r="F234" s="13">
        <f>IF($B234="","",IF(COUNTIF(Katalog_Leistung,$B234)&gt;1,"! Bezeichnung doppelt",IF($A234="","! Kategorie fehlt",IF(ISNA(MATCH($A234,Kategorien,0)),"! Kategorie fehlt in Spalte I",IF(OR(AND($D234&lt;&gt;"",NOT(ISNUMBER($D234))),AND($E234&lt;&gt;"",NOT(ISNUMBER($E234)))),"! Preis oder Zeit ist keine Zahl","OK")))))</f>
        <v/>
      </c>
      <c r="H234" s="10" t="n"/>
      <c r="I234" s="10" t="n"/>
    </row>
    <row r="235">
      <c r="A235" s="10" t="n"/>
      <c r="B235" s="10" t="n"/>
      <c r="C235" s="10" t="n"/>
      <c r="D235" s="16" t="n"/>
      <c r="E235" s="24" t="n"/>
      <c r="F235" s="13">
        <f>IF($B235="","",IF(COUNTIF(Katalog_Leistung,$B235)&gt;1,"! Bezeichnung doppelt",IF($A235="","! Kategorie fehlt",IF(ISNA(MATCH($A235,Kategorien,0)),"! Kategorie fehlt in Spalte I",IF(OR(AND($D235&lt;&gt;"",NOT(ISNUMBER($D235))),AND($E235&lt;&gt;"",NOT(ISNUMBER($E235)))),"! Preis oder Zeit ist keine Zahl","OK")))))</f>
        <v/>
      </c>
      <c r="H235" s="10" t="n"/>
      <c r="I235" s="10" t="n"/>
    </row>
    <row r="236">
      <c r="A236" s="10" t="n"/>
      <c r="B236" s="10" t="n"/>
      <c r="C236" s="10" t="n"/>
      <c r="D236" s="16" t="n"/>
      <c r="E236" s="24" t="n"/>
      <c r="F236" s="13">
        <f>IF($B236="","",IF(COUNTIF(Katalog_Leistung,$B236)&gt;1,"! Bezeichnung doppelt",IF($A236="","! Kategorie fehlt",IF(ISNA(MATCH($A236,Kategorien,0)),"! Kategorie fehlt in Spalte I",IF(OR(AND($D236&lt;&gt;"",NOT(ISNUMBER($D236))),AND($E236&lt;&gt;"",NOT(ISNUMBER($E236)))),"! Preis oder Zeit ist keine Zahl","OK")))))</f>
        <v/>
      </c>
      <c r="H236" s="10" t="n"/>
      <c r="I236" s="10" t="n"/>
    </row>
    <row r="237">
      <c r="A237" s="10" t="n"/>
      <c r="B237" s="10" t="n"/>
      <c r="C237" s="10" t="n"/>
      <c r="D237" s="16" t="n"/>
      <c r="E237" s="24" t="n"/>
      <c r="F237" s="13">
        <f>IF($B237="","",IF(COUNTIF(Katalog_Leistung,$B237)&gt;1,"! Bezeichnung doppelt",IF($A237="","! Kategorie fehlt",IF(ISNA(MATCH($A237,Kategorien,0)),"! Kategorie fehlt in Spalte I",IF(OR(AND($D237&lt;&gt;"",NOT(ISNUMBER($D237))),AND($E237&lt;&gt;"",NOT(ISNUMBER($E237)))),"! Preis oder Zeit ist keine Zahl","OK")))))</f>
        <v/>
      </c>
      <c r="H237" s="10" t="n"/>
      <c r="I237" s="10" t="n"/>
    </row>
    <row r="238">
      <c r="A238" s="10" t="n"/>
      <c r="B238" s="10" t="n"/>
      <c r="C238" s="10" t="n"/>
      <c r="D238" s="16" t="n"/>
      <c r="E238" s="24" t="n"/>
      <c r="F238" s="13">
        <f>IF($B238="","",IF(COUNTIF(Katalog_Leistung,$B238)&gt;1,"! Bezeichnung doppelt",IF($A238="","! Kategorie fehlt",IF(ISNA(MATCH($A238,Kategorien,0)),"! Kategorie fehlt in Spalte I",IF(OR(AND($D238&lt;&gt;"",NOT(ISNUMBER($D238))),AND($E238&lt;&gt;"",NOT(ISNUMBER($E238)))),"! Preis oder Zeit ist keine Zahl","OK")))))</f>
        <v/>
      </c>
      <c r="H238" s="10" t="n"/>
      <c r="I238" s="10" t="n"/>
    </row>
    <row r="239">
      <c r="A239" s="10" t="n"/>
      <c r="B239" s="10" t="n"/>
      <c r="C239" s="10" t="n"/>
      <c r="D239" s="16" t="n"/>
      <c r="E239" s="24" t="n"/>
      <c r="F239" s="13">
        <f>IF($B239="","",IF(COUNTIF(Katalog_Leistung,$B239)&gt;1,"! Bezeichnung doppelt",IF($A239="","! Kategorie fehlt",IF(ISNA(MATCH($A239,Kategorien,0)),"! Kategorie fehlt in Spalte I",IF(OR(AND($D239&lt;&gt;"",NOT(ISNUMBER($D239))),AND($E239&lt;&gt;"",NOT(ISNUMBER($E239)))),"! Preis oder Zeit ist keine Zahl","OK")))))</f>
        <v/>
      </c>
      <c r="H239" s="10" t="n"/>
      <c r="I239" s="10" t="n"/>
    </row>
    <row r="240">
      <c r="A240" s="10" t="n"/>
      <c r="B240" s="10" t="n"/>
      <c r="C240" s="10" t="n"/>
      <c r="D240" s="16" t="n"/>
      <c r="E240" s="24" t="n"/>
      <c r="F240" s="13">
        <f>IF($B240="","",IF(COUNTIF(Katalog_Leistung,$B240)&gt;1,"! Bezeichnung doppelt",IF($A240="","! Kategorie fehlt",IF(ISNA(MATCH($A240,Kategorien,0)),"! Kategorie fehlt in Spalte I",IF(OR(AND($D240&lt;&gt;"",NOT(ISNUMBER($D240))),AND($E240&lt;&gt;"",NOT(ISNUMBER($E240)))),"! Preis oder Zeit ist keine Zahl","OK")))))</f>
        <v/>
      </c>
      <c r="H240" s="10" t="n"/>
      <c r="I240" s="10" t="n"/>
    </row>
    <row r="241">
      <c r="A241" s="10" t="n"/>
      <c r="B241" s="10" t="n"/>
      <c r="C241" s="10" t="n"/>
      <c r="D241" s="16" t="n"/>
      <c r="E241" s="24" t="n"/>
      <c r="F241" s="13">
        <f>IF($B241="","",IF(COUNTIF(Katalog_Leistung,$B241)&gt;1,"! Bezeichnung doppelt",IF($A241="","! Kategorie fehlt",IF(ISNA(MATCH($A241,Kategorien,0)),"! Kategorie fehlt in Spalte I",IF(OR(AND($D241&lt;&gt;"",NOT(ISNUMBER($D241))),AND($E241&lt;&gt;"",NOT(ISNUMBER($E241)))),"! Preis oder Zeit ist keine Zahl","OK")))))</f>
        <v/>
      </c>
      <c r="H241" s="10" t="n"/>
      <c r="I241" s="10" t="n"/>
    </row>
    <row r="242">
      <c r="A242" s="10" t="n"/>
      <c r="B242" s="10" t="n"/>
      <c r="C242" s="10" t="n"/>
      <c r="D242" s="16" t="n"/>
      <c r="E242" s="24" t="n"/>
      <c r="F242" s="13">
        <f>IF($B242="","",IF(COUNTIF(Katalog_Leistung,$B242)&gt;1,"! Bezeichnung doppelt",IF($A242="","! Kategorie fehlt",IF(ISNA(MATCH($A242,Kategorien,0)),"! Kategorie fehlt in Spalte I",IF(OR(AND($D242&lt;&gt;"",NOT(ISNUMBER($D242))),AND($E242&lt;&gt;"",NOT(ISNUMBER($E242)))),"! Preis oder Zeit ist keine Zahl","OK")))))</f>
        <v/>
      </c>
      <c r="H242" s="10" t="n"/>
      <c r="I242" s="10" t="n"/>
    </row>
    <row r="243">
      <c r="A243" s="10" t="n"/>
      <c r="B243" s="10" t="n"/>
      <c r="C243" s="10" t="n"/>
      <c r="D243" s="16" t="n"/>
      <c r="E243" s="24" t="n"/>
      <c r="F243" s="13">
        <f>IF($B243="","",IF(COUNTIF(Katalog_Leistung,$B243)&gt;1,"! Bezeichnung doppelt",IF($A243="","! Kategorie fehlt",IF(ISNA(MATCH($A243,Kategorien,0)),"! Kategorie fehlt in Spalte I",IF(OR(AND($D243&lt;&gt;"",NOT(ISNUMBER($D243))),AND($E243&lt;&gt;"",NOT(ISNUMBER($E243)))),"! Preis oder Zeit ist keine Zahl","OK")))))</f>
        <v/>
      </c>
      <c r="H243" s="10" t="n"/>
      <c r="I243" s="10" t="n"/>
    </row>
    <row r="244">
      <c r="A244" s="10" t="n"/>
      <c r="B244" s="10" t="n"/>
      <c r="C244" s="10" t="n"/>
      <c r="D244" s="16" t="n"/>
      <c r="E244" s="24" t="n"/>
      <c r="F244" s="13">
        <f>IF($B244="","",IF(COUNTIF(Katalog_Leistung,$B244)&gt;1,"! Bezeichnung doppelt",IF($A244="","! Kategorie fehlt",IF(ISNA(MATCH($A244,Kategorien,0)),"! Kategorie fehlt in Spalte I",IF(OR(AND($D244&lt;&gt;"",NOT(ISNUMBER($D244))),AND($E244&lt;&gt;"",NOT(ISNUMBER($E244)))),"! Preis oder Zeit ist keine Zahl","OK")))))</f>
        <v/>
      </c>
      <c r="H244" s="10" t="n"/>
      <c r="I244" s="10" t="n"/>
    </row>
    <row r="245">
      <c r="A245" s="10" t="n"/>
      <c r="B245" s="10" t="n"/>
      <c r="C245" s="10" t="n"/>
      <c r="D245" s="16" t="n"/>
      <c r="E245" s="24" t="n"/>
      <c r="F245" s="13">
        <f>IF($B245="","",IF(COUNTIF(Katalog_Leistung,$B245)&gt;1,"! Bezeichnung doppelt",IF($A245="","! Kategorie fehlt",IF(ISNA(MATCH($A245,Kategorien,0)),"! Kategorie fehlt in Spalte I",IF(OR(AND($D245&lt;&gt;"",NOT(ISNUMBER($D245))),AND($E245&lt;&gt;"",NOT(ISNUMBER($E245)))),"! Preis oder Zeit ist keine Zahl","OK")))))</f>
        <v/>
      </c>
      <c r="H245" s="10" t="n"/>
      <c r="I245" s="10" t="n"/>
    </row>
    <row r="246">
      <c r="A246" s="10" t="n"/>
      <c r="B246" s="10" t="n"/>
      <c r="C246" s="10" t="n"/>
      <c r="D246" s="16" t="n"/>
      <c r="E246" s="24" t="n"/>
      <c r="F246" s="13">
        <f>IF($B246="","",IF(COUNTIF(Katalog_Leistung,$B246)&gt;1,"! Bezeichnung doppelt",IF($A246="","! Kategorie fehlt",IF(ISNA(MATCH($A246,Kategorien,0)),"! Kategorie fehlt in Spalte I",IF(OR(AND($D246&lt;&gt;"",NOT(ISNUMBER($D246))),AND($E246&lt;&gt;"",NOT(ISNUMBER($E246)))),"! Preis oder Zeit ist keine Zahl","OK")))))</f>
        <v/>
      </c>
      <c r="H246" s="10" t="n"/>
      <c r="I246" s="10" t="n"/>
    </row>
    <row r="247">
      <c r="A247" s="10" t="n"/>
      <c r="B247" s="10" t="n"/>
      <c r="C247" s="10" t="n"/>
      <c r="D247" s="16" t="n"/>
      <c r="E247" s="24" t="n"/>
      <c r="F247" s="13">
        <f>IF($B247="","",IF(COUNTIF(Katalog_Leistung,$B247)&gt;1,"! Bezeichnung doppelt",IF($A247="","! Kategorie fehlt",IF(ISNA(MATCH($A247,Kategorien,0)),"! Kategorie fehlt in Spalte I",IF(OR(AND($D247&lt;&gt;"",NOT(ISNUMBER($D247))),AND($E247&lt;&gt;"",NOT(ISNUMBER($E247)))),"! Preis oder Zeit ist keine Zahl","OK")))))</f>
        <v/>
      </c>
      <c r="H247" s="10" t="n"/>
      <c r="I247" s="10" t="n"/>
    </row>
    <row r="248">
      <c r="A248" s="10" t="n"/>
      <c r="B248" s="10" t="n"/>
      <c r="C248" s="10" t="n"/>
      <c r="D248" s="16" t="n"/>
      <c r="E248" s="24" t="n"/>
      <c r="F248" s="13">
        <f>IF($B248="","",IF(COUNTIF(Katalog_Leistung,$B248)&gt;1,"! Bezeichnung doppelt",IF($A248="","! Kategorie fehlt",IF(ISNA(MATCH($A248,Kategorien,0)),"! Kategorie fehlt in Spalte I",IF(OR(AND($D248&lt;&gt;"",NOT(ISNUMBER($D248))),AND($E248&lt;&gt;"",NOT(ISNUMBER($E248)))),"! Preis oder Zeit ist keine Zahl","OK")))))</f>
        <v/>
      </c>
      <c r="H248" s="10" t="n"/>
      <c r="I248" s="10" t="n"/>
    </row>
    <row r="249">
      <c r="A249" s="10" t="n"/>
      <c r="B249" s="10" t="n"/>
      <c r="C249" s="10" t="n"/>
      <c r="D249" s="16" t="n"/>
      <c r="E249" s="24" t="n"/>
      <c r="F249" s="13">
        <f>IF($B249="","",IF(COUNTIF(Katalog_Leistung,$B249)&gt;1,"! Bezeichnung doppelt",IF($A249="","! Kategorie fehlt",IF(ISNA(MATCH($A249,Kategorien,0)),"! Kategorie fehlt in Spalte I",IF(OR(AND($D249&lt;&gt;"",NOT(ISNUMBER($D249))),AND($E249&lt;&gt;"",NOT(ISNUMBER($E249)))),"! Preis oder Zeit ist keine Zahl","OK")))))</f>
        <v/>
      </c>
      <c r="H249" s="10" t="n"/>
      <c r="I249" s="10" t="n"/>
    </row>
    <row r="250">
      <c r="A250" s="10" t="n"/>
      <c r="B250" s="10" t="n"/>
      <c r="C250" s="10" t="n"/>
      <c r="D250" s="16" t="n"/>
      <c r="E250" s="24" t="n"/>
      <c r="F250" s="13">
        <f>IF($B250="","",IF(COUNTIF(Katalog_Leistung,$B250)&gt;1,"! Bezeichnung doppelt",IF($A250="","! Kategorie fehlt",IF(ISNA(MATCH($A250,Kategorien,0)),"! Kategorie fehlt in Spalte I",IF(OR(AND($D250&lt;&gt;"",NOT(ISNUMBER($D250))),AND($E250&lt;&gt;"",NOT(ISNUMBER($E250)))),"! Preis oder Zeit ist keine Zahl","OK")))))</f>
        <v/>
      </c>
      <c r="H250" s="10" t="n"/>
      <c r="I250" s="10" t="n"/>
    </row>
    <row r="251">
      <c r="A251" s="10" t="n"/>
      <c r="B251" s="10" t="n"/>
      <c r="C251" s="10" t="n"/>
      <c r="D251" s="16" t="n"/>
      <c r="E251" s="24" t="n"/>
      <c r="F251" s="13">
        <f>IF($B251="","",IF(COUNTIF(Katalog_Leistung,$B251)&gt;1,"! Bezeichnung doppelt",IF($A251="","! Kategorie fehlt",IF(ISNA(MATCH($A251,Kategorien,0)),"! Kategorie fehlt in Spalte I",IF(OR(AND($D251&lt;&gt;"",NOT(ISNUMBER($D251))),AND($E251&lt;&gt;"",NOT(ISNUMBER($E251)))),"! Preis oder Zeit ist keine Zahl","OK")))))</f>
        <v/>
      </c>
      <c r="H251" s="10" t="n"/>
      <c r="I251" s="10" t="n"/>
    </row>
    <row r="252">
      <c r="A252" s="10" t="n"/>
      <c r="B252" s="10" t="n"/>
      <c r="C252" s="10" t="n"/>
      <c r="D252" s="16" t="n"/>
      <c r="E252" s="24" t="n"/>
      <c r="F252" s="13">
        <f>IF($B252="","",IF(COUNTIF(Katalog_Leistung,$B252)&gt;1,"! Bezeichnung doppelt",IF($A252="","! Kategorie fehlt",IF(ISNA(MATCH($A252,Kategorien,0)),"! Kategorie fehlt in Spalte I",IF(OR(AND($D252&lt;&gt;"",NOT(ISNUMBER($D252))),AND($E252&lt;&gt;"",NOT(ISNUMBER($E252)))),"! Preis oder Zeit ist keine Zahl","OK")))))</f>
        <v/>
      </c>
      <c r="H252" s="10" t="n"/>
      <c r="I252" s="10" t="n"/>
    </row>
    <row r="253">
      <c r="A253" s="10" t="n"/>
      <c r="B253" s="10" t="n"/>
      <c r="C253" s="10" t="n"/>
      <c r="D253" s="16" t="n"/>
      <c r="E253" s="24" t="n"/>
      <c r="F253" s="13">
        <f>IF($B253="","",IF(COUNTIF(Katalog_Leistung,$B253)&gt;1,"! Bezeichnung doppelt",IF($A253="","! Kategorie fehlt",IF(ISNA(MATCH($A253,Kategorien,0)),"! Kategorie fehlt in Spalte I",IF(OR(AND($D253&lt;&gt;"",NOT(ISNUMBER($D253))),AND($E253&lt;&gt;"",NOT(ISNUMBER($E253)))),"! Preis oder Zeit ist keine Zahl","OK")))))</f>
        <v/>
      </c>
      <c r="H253" s="10" t="n"/>
      <c r="I253" s="10" t="n"/>
    </row>
    <row r="254">
      <c r="A254" s="10" t="n"/>
      <c r="B254" s="10" t="n"/>
      <c r="C254" s="10" t="n"/>
      <c r="D254" s="16" t="n"/>
      <c r="E254" s="24" t="n"/>
      <c r="F254" s="13">
        <f>IF($B254="","",IF(COUNTIF(Katalog_Leistung,$B254)&gt;1,"! Bezeichnung doppelt",IF($A254="","! Kategorie fehlt",IF(ISNA(MATCH($A254,Kategorien,0)),"! Kategorie fehlt in Spalte I",IF(OR(AND($D254&lt;&gt;"",NOT(ISNUMBER($D254))),AND($E254&lt;&gt;"",NOT(ISNUMBER($E254)))),"! Preis oder Zeit ist keine Zahl","OK")))))</f>
        <v/>
      </c>
      <c r="H254" s="10" t="n"/>
      <c r="I254" s="10" t="n"/>
    </row>
    <row r="255">
      <c r="A255" s="10" t="n"/>
      <c r="B255" s="10" t="n"/>
      <c r="C255" s="10" t="n"/>
      <c r="D255" s="16" t="n"/>
      <c r="E255" s="24" t="n"/>
      <c r="F255" s="13">
        <f>IF($B255="","",IF(COUNTIF(Katalog_Leistung,$B255)&gt;1,"! Bezeichnung doppelt",IF($A255="","! Kategorie fehlt",IF(ISNA(MATCH($A255,Kategorien,0)),"! Kategorie fehlt in Spalte I",IF(OR(AND($D255&lt;&gt;"",NOT(ISNUMBER($D255))),AND($E255&lt;&gt;"",NOT(ISNUMBER($E255)))),"! Preis oder Zeit ist keine Zahl","OK")))))</f>
        <v/>
      </c>
      <c r="H255" s="10" t="n"/>
      <c r="I255" s="10" t="n"/>
    </row>
    <row r="256">
      <c r="A256" s="10" t="n"/>
      <c r="B256" s="10" t="n"/>
      <c r="C256" s="10" t="n"/>
      <c r="D256" s="16" t="n"/>
      <c r="E256" s="24" t="n"/>
      <c r="F256" s="13">
        <f>IF($B256="","",IF(COUNTIF(Katalog_Leistung,$B256)&gt;1,"! Bezeichnung doppelt",IF($A256="","! Kategorie fehlt",IF(ISNA(MATCH($A256,Kategorien,0)),"! Kategorie fehlt in Spalte I",IF(OR(AND($D256&lt;&gt;"",NOT(ISNUMBER($D256))),AND($E256&lt;&gt;"",NOT(ISNUMBER($E256)))),"! Preis oder Zeit ist keine Zahl","OK")))))</f>
        <v/>
      </c>
      <c r="H256" s="10" t="n"/>
      <c r="I256" s="10" t="n"/>
    </row>
    <row r="257">
      <c r="A257" s="10" t="n"/>
      <c r="B257" s="10" t="n"/>
      <c r="C257" s="10" t="n"/>
      <c r="D257" s="16" t="n"/>
      <c r="E257" s="24" t="n"/>
      <c r="F257" s="13">
        <f>IF($B257="","",IF(COUNTIF(Katalog_Leistung,$B257)&gt;1,"! Bezeichnung doppelt",IF($A257="","! Kategorie fehlt",IF(ISNA(MATCH($A257,Kategorien,0)),"! Kategorie fehlt in Spalte I",IF(OR(AND($D257&lt;&gt;"",NOT(ISNUMBER($D257))),AND($E257&lt;&gt;"",NOT(ISNUMBER($E257)))),"! Preis oder Zeit ist keine Zahl","OK")))))</f>
        <v/>
      </c>
      <c r="H257" s="10" t="n"/>
      <c r="I257" s="10" t="n"/>
    </row>
    <row r="258">
      <c r="A258" s="10" t="n"/>
      <c r="B258" s="10" t="n"/>
      <c r="C258" s="10" t="n"/>
      <c r="D258" s="16" t="n"/>
      <c r="E258" s="24" t="n"/>
      <c r="F258" s="13">
        <f>IF($B258="","",IF(COUNTIF(Katalog_Leistung,$B258)&gt;1,"! Bezeichnung doppelt",IF($A258="","! Kategorie fehlt",IF(ISNA(MATCH($A258,Kategorien,0)),"! Kategorie fehlt in Spalte I",IF(OR(AND($D258&lt;&gt;"",NOT(ISNUMBER($D258))),AND($E258&lt;&gt;"",NOT(ISNUMBER($E258)))),"! Preis oder Zeit ist keine Zahl","OK")))))</f>
        <v/>
      </c>
      <c r="H258" s="10" t="n"/>
      <c r="I258" s="10" t="n"/>
    </row>
    <row r="259">
      <c r="A259" s="10" t="n"/>
      <c r="B259" s="10" t="n"/>
      <c r="C259" s="10" t="n"/>
      <c r="D259" s="16" t="n"/>
      <c r="E259" s="24" t="n"/>
      <c r="F259" s="13">
        <f>IF($B259="","",IF(COUNTIF(Katalog_Leistung,$B259)&gt;1,"! Bezeichnung doppelt",IF($A259="","! Kategorie fehlt",IF(ISNA(MATCH($A259,Kategorien,0)),"! Kategorie fehlt in Spalte I",IF(OR(AND($D259&lt;&gt;"",NOT(ISNUMBER($D259))),AND($E259&lt;&gt;"",NOT(ISNUMBER($E259)))),"! Preis oder Zeit ist keine Zahl","OK")))))</f>
        <v/>
      </c>
      <c r="H259" s="10" t="n"/>
      <c r="I259" s="10" t="n"/>
    </row>
    <row r="260">
      <c r="A260" s="10" t="n"/>
      <c r="B260" s="10" t="n"/>
      <c r="C260" s="10" t="n"/>
      <c r="D260" s="16" t="n"/>
      <c r="E260" s="24" t="n"/>
      <c r="F260" s="13">
        <f>IF($B260="","",IF(COUNTIF(Katalog_Leistung,$B260)&gt;1,"! Bezeichnung doppelt",IF($A260="","! Kategorie fehlt",IF(ISNA(MATCH($A260,Kategorien,0)),"! Kategorie fehlt in Spalte I",IF(OR(AND($D260&lt;&gt;"",NOT(ISNUMBER($D260))),AND($E260&lt;&gt;"",NOT(ISNUMBER($E260)))),"! Preis oder Zeit ist keine Zahl","OK")))))</f>
        <v/>
      </c>
      <c r="H260" s="10" t="n"/>
      <c r="I260" s="10" t="n"/>
    </row>
    <row r="261">
      <c r="A261" s="10" t="n"/>
      <c r="B261" s="10" t="n"/>
      <c r="C261" s="10" t="n"/>
      <c r="D261" s="16" t="n"/>
      <c r="E261" s="24" t="n"/>
      <c r="F261" s="13">
        <f>IF($B261="","",IF(COUNTIF(Katalog_Leistung,$B261)&gt;1,"! Bezeichnung doppelt",IF($A261="","! Kategorie fehlt",IF(ISNA(MATCH($A261,Kategorien,0)),"! Kategorie fehlt in Spalte I",IF(OR(AND($D261&lt;&gt;"",NOT(ISNUMBER($D261))),AND($E261&lt;&gt;"",NOT(ISNUMBER($E261)))),"! Preis oder Zeit ist keine Zahl","OK")))))</f>
        <v/>
      </c>
      <c r="H261" s="10" t="n"/>
      <c r="I261" s="10" t="n"/>
    </row>
    <row r="262">
      <c r="A262" s="10" t="n"/>
      <c r="B262" s="10" t="n"/>
      <c r="C262" s="10" t="n"/>
      <c r="D262" s="16" t="n"/>
      <c r="E262" s="24" t="n"/>
      <c r="F262" s="13">
        <f>IF($B262="","",IF(COUNTIF(Katalog_Leistung,$B262)&gt;1,"! Bezeichnung doppelt",IF($A262="","! Kategorie fehlt",IF(ISNA(MATCH($A262,Kategorien,0)),"! Kategorie fehlt in Spalte I",IF(OR(AND($D262&lt;&gt;"",NOT(ISNUMBER($D262))),AND($E262&lt;&gt;"",NOT(ISNUMBER($E262)))),"! Preis oder Zeit ist keine Zahl","OK")))))</f>
        <v/>
      </c>
      <c r="H262" s="10" t="n"/>
      <c r="I262" s="10" t="n"/>
    </row>
    <row r="263">
      <c r="A263" s="10" t="n"/>
      <c r="B263" s="10" t="n"/>
      <c r="C263" s="10" t="n"/>
      <c r="D263" s="16" t="n"/>
      <c r="E263" s="24" t="n"/>
      <c r="F263" s="13">
        <f>IF($B263="","",IF(COUNTIF(Katalog_Leistung,$B263)&gt;1,"! Bezeichnung doppelt",IF($A263="","! Kategorie fehlt",IF(ISNA(MATCH($A263,Kategorien,0)),"! Kategorie fehlt in Spalte I",IF(OR(AND($D263&lt;&gt;"",NOT(ISNUMBER($D263))),AND($E263&lt;&gt;"",NOT(ISNUMBER($E263)))),"! Preis oder Zeit ist keine Zahl","OK")))))</f>
        <v/>
      </c>
      <c r="H263" s="10" t="n"/>
      <c r="I263" s="10" t="n"/>
    </row>
    <row r="264">
      <c r="A264" s="10" t="n"/>
      <c r="B264" s="10" t="n"/>
      <c r="C264" s="10" t="n"/>
      <c r="D264" s="16" t="n"/>
      <c r="E264" s="24" t="n"/>
      <c r="F264" s="13">
        <f>IF($B264="","",IF(COUNTIF(Katalog_Leistung,$B264)&gt;1,"! Bezeichnung doppelt",IF($A264="","! Kategorie fehlt",IF(ISNA(MATCH($A264,Kategorien,0)),"! Kategorie fehlt in Spalte I",IF(OR(AND($D264&lt;&gt;"",NOT(ISNUMBER($D264))),AND($E264&lt;&gt;"",NOT(ISNUMBER($E264)))),"! Preis oder Zeit ist keine Zahl","OK")))))</f>
        <v/>
      </c>
      <c r="H264" s="10" t="n"/>
      <c r="I264" s="10" t="n"/>
    </row>
    <row r="265">
      <c r="A265" s="10" t="n"/>
      <c r="B265" s="10" t="n"/>
      <c r="C265" s="10" t="n"/>
      <c r="D265" s="16" t="n"/>
      <c r="E265" s="24" t="n"/>
      <c r="F265" s="13">
        <f>IF($B265="","",IF(COUNTIF(Katalog_Leistung,$B265)&gt;1,"! Bezeichnung doppelt",IF($A265="","! Kategorie fehlt",IF(ISNA(MATCH($A265,Kategorien,0)),"! Kategorie fehlt in Spalte I",IF(OR(AND($D265&lt;&gt;"",NOT(ISNUMBER($D265))),AND($E265&lt;&gt;"",NOT(ISNUMBER($E265)))),"! Preis oder Zeit ist keine Zahl","OK")))))</f>
        <v/>
      </c>
      <c r="H265" s="10" t="n"/>
      <c r="I265" s="10" t="n"/>
    </row>
    <row r="266">
      <c r="A266" s="10" t="n"/>
      <c r="B266" s="10" t="n"/>
      <c r="C266" s="10" t="n"/>
      <c r="D266" s="16" t="n"/>
      <c r="E266" s="24" t="n"/>
      <c r="F266" s="13">
        <f>IF($B266="","",IF(COUNTIF(Katalog_Leistung,$B266)&gt;1,"! Bezeichnung doppelt",IF($A266="","! Kategorie fehlt",IF(ISNA(MATCH($A266,Kategorien,0)),"! Kategorie fehlt in Spalte I",IF(OR(AND($D266&lt;&gt;"",NOT(ISNUMBER($D266))),AND($E266&lt;&gt;"",NOT(ISNUMBER($E266)))),"! Preis oder Zeit ist keine Zahl","OK")))))</f>
        <v/>
      </c>
      <c r="H266" s="10" t="n"/>
      <c r="I266" s="10" t="n"/>
    </row>
    <row r="267">
      <c r="A267" s="10" t="n"/>
      <c r="B267" s="10" t="n"/>
      <c r="C267" s="10" t="n"/>
      <c r="D267" s="16" t="n"/>
      <c r="E267" s="24" t="n"/>
      <c r="F267" s="13">
        <f>IF($B267="","",IF(COUNTIF(Katalog_Leistung,$B267)&gt;1,"! Bezeichnung doppelt",IF($A267="","! Kategorie fehlt",IF(ISNA(MATCH($A267,Kategorien,0)),"! Kategorie fehlt in Spalte I",IF(OR(AND($D267&lt;&gt;"",NOT(ISNUMBER($D267))),AND($E267&lt;&gt;"",NOT(ISNUMBER($E267)))),"! Preis oder Zeit ist keine Zahl","OK")))))</f>
        <v/>
      </c>
      <c r="H267" s="10" t="n"/>
      <c r="I267" s="10" t="n"/>
    </row>
    <row r="268">
      <c r="A268" s="10" t="n"/>
      <c r="B268" s="10" t="n"/>
      <c r="C268" s="10" t="n"/>
      <c r="D268" s="16" t="n"/>
      <c r="E268" s="24" t="n"/>
      <c r="F268" s="13">
        <f>IF($B268="","",IF(COUNTIF(Katalog_Leistung,$B268)&gt;1,"! Bezeichnung doppelt",IF($A268="","! Kategorie fehlt",IF(ISNA(MATCH($A268,Kategorien,0)),"! Kategorie fehlt in Spalte I",IF(OR(AND($D268&lt;&gt;"",NOT(ISNUMBER($D268))),AND($E268&lt;&gt;"",NOT(ISNUMBER($E268)))),"! Preis oder Zeit ist keine Zahl","OK")))))</f>
        <v/>
      </c>
      <c r="H268" s="10" t="n"/>
      <c r="I268" s="10" t="n"/>
    </row>
    <row r="269">
      <c r="A269" s="10" t="n"/>
      <c r="B269" s="10" t="n"/>
      <c r="C269" s="10" t="n"/>
      <c r="D269" s="16" t="n"/>
      <c r="E269" s="24" t="n"/>
      <c r="F269" s="13">
        <f>IF($B269="","",IF(COUNTIF(Katalog_Leistung,$B269)&gt;1,"! Bezeichnung doppelt",IF($A269="","! Kategorie fehlt",IF(ISNA(MATCH($A269,Kategorien,0)),"! Kategorie fehlt in Spalte I",IF(OR(AND($D269&lt;&gt;"",NOT(ISNUMBER($D269))),AND($E269&lt;&gt;"",NOT(ISNUMBER($E269)))),"! Preis oder Zeit ist keine Zahl","OK")))))</f>
        <v/>
      </c>
      <c r="H269" s="10" t="n"/>
      <c r="I269" s="10" t="n"/>
    </row>
    <row r="270">
      <c r="A270" s="10" t="n"/>
      <c r="B270" s="10" t="n"/>
      <c r="C270" s="10" t="n"/>
      <c r="D270" s="16" t="n"/>
      <c r="E270" s="24" t="n"/>
      <c r="F270" s="13">
        <f>IF($B270="","",IF(COUNTIF(Katalog_Leistung,$B270)&gt;1,"! Bezeichnung doppelt",IF($A270="","! Kategorie fehlt",IF(ISNA(MATCH($A270,Kategorien,0)),"! Kategorie fehlt in Spalte I",IF(OR(AND($D270&lt;&gt;"",NOT(ISNUMBER($D270))),AND($E270&lt;&gt;"",NOT(ISNUMBER($E270)))),"! Preis oder Zeit ist keine Zahl","OK")))))</f>
        <v/>
      </c>
      <c r="H270" s="10" t="n"/>
      <c r="I270" s="10" t="n"/>
    </row>
    <row r="271">
      <c r="A271" s="10" t="n"/>
      <c r="B271" s="10" t="n"/>
      <c r="C271" s="10" t="n"/>
      <c r="D271" s="16" t="n"/>
      <c r="E271" s="24" t="n"/>
      <c r="F271" s="13">
        <f>IF($B271="","",IF(COUNTIF(Katalog_Leistung,$B271)&gt;1,"! Bezeichnung doppelt",IF($A271="","! Kategorie fehlt",IF(ISNA(MATCH($A271,Kategorien,0)),"! Kategorie fehlt in Spalte I",IF(OR(AND($D271&lt;&gt;"",NOT(ISNUMBER($D271))),AND($E271&lt;&gt;"",NOT(ISNUMBER($E271)))),"! Preis oder Zeit ist keine Zahl","OK")))))</f>
        <v/>
      </c>
      <c r="H271" s="10" t="n"/>
      <c r="I271" s="10" t="n"/>
    </row>
    <row r="272">
      <c r="A272" s="10" t="n"/>
      <c r="B272" s="10" t="n"/>
      <c r="C272" s="10" t="n"/>
      <c r="D272" s="16" t="n"/>
      <c r="E272" s="24" t="n"/>
      <c r="F272" s="13">
        <f>IF($B272="","",IF(COUNTIF(Katalog_Leistung,$B272)&gt;1,"! Bezeichnung doppelt",IF($A272="","! Kategorie fehlt",IF(ISNA(MATCH($A272,Kategorien,0)),"! Kategorie fehlt in Spalte I",IF(OR(AND($D272&lt;&gt;"",NOT(ISNUMBER($D272))),AND($E272&lt;&gt;"",NOT(ISNUMBER($E272)))),"! Preis oder Zeit ist keine Zahl","OK")))))</f>
        <v/>
      </c>
      <c r="H272" s="10" t="n"/>
      <c r="I272" s="10" t="n"/>
    </row>
    <row r="273">
      <c r="A273" s="10" t="n"/>
      <c r="B273" s="10" t="n"/>
      <c r="C273" s="10" t="n"/>
      <c r="D273" s="16" t="n"/>
      <c r="E273" s="24" t="n"/>
      <c r="F273" s="13">
        <f>IF($B273="","",IF(COUNTIF(Katalog_Leistung,$B273)&gt;1,"! Bezeichnung doppelt",IF($A273="","! Kategorie fehlt",IF(ISNA(MATCH($A273,Kategorien,0)),"! Kategorie fehlt in Spalte I",IF(OR(AND($D273&lt;&gt;"",NOT(ISNUMBER($D273))),AND($E273&lt;&gt;"",NOT(ISNUMBER($E273)))),"! Preis oder Zeit ist keine Zahl","OK")))))</f>
        <v/>
      </c>
      <c r="H273" s="10" t="n"/>
      <c r="I273" s="10" t="n"/>
    </row>
    <row r="274">
      <c r="A274" s="10" t="n"/>
      <c r="B274" s="10" t="n"/>
      <c r="C274" s="10" t="n"/>
      <c r="D274" s="16" t="n"/>
      <c r="E274" s="24" t="n"/>
      <c r="F274" s="13">
        <f>IF($B274="","",IF(COUNTIF(Katalog_Leistung,$B274)&gt;1,"! Bezeichnung doppelt",IF($A274="","! Kategorie fehlt",IF(ISNA(MATCH($A274,Kategorien,0)),"! Kategorie fehlt in Spalte I",IF(OR(AND($D274&lt;&gt;"",NOT(ISNUMBER($D274))),AND($E274&lt;&gt;"",NOT(ISNUMBER($E274)))),"! Preis oder Zeit ist keine Zahl","OK")))))</f>
        <v/>
      </c>
      <c r="H274" s="10" t="n"/>
      <c r="I274" s="10" t="n"/>
    </row>
    <row r="275">
      <c r="A275" s="10" t="n"/>
      <c r="B275" s="10" t="n"/>
      <c r="C275" s="10" t="n"/>
      <c r="D275" s="16" t="n"/>
      <c r="E275" s="24" t="n"/>
      <c r="F275" s="13">
        <f>IF($B275="","",IF(COUNTIF(Katalog_Leistung,$B275)&gt;1,"! Bezeichnung doppelt",IF($A275="","! Kategorie fehlt",IF(ISNA(MATCH($A275,Kategorien,0)),"! Kategorie fehlt in Spalte I",IF(OR(AND($D275&lt;&gt;"",NOT(ISNUMBER($D275))),AND($E275&lt;&gt;"",NOT(ISNUMBER($E275)))),"! Preis oder Zeit ist keine Zahl","OK")))))</f>
        <v/>
      </c>
      <c r="H275" s="10" t="n"/>
      <c r="I275" s="10" t="n"/>
    </row>
    <row r="276">
      <c r="A276" s="10" t="n"/>
      <c r="B276" s="10" t="n"/>
      <c r="C276" s="10" t="n"/>
      <c r="D276" s="16" t="n"/>
      <c r="E276" s="24" t="n"/>
      <c r="F276" s="13">
        <f>IF($B276="","",IF(COUNTIF(Katalog_Leistung,$B276)&gt;1,"! Bezeichnung doppelt",IF($A276="","! Kategorie fehlt",IF(ISNA(MATCH($A276,Kategorien,0)),"! Kategorie fehlt in Spalte I",IF(OR(AND($D276&lt;&gt;"",NOT(ISNUMBER($D276))),AND($E276&lt;&gt;"",NOT(ISNUMBER($E276)))),"! Preis oder Zeit ist keine Zahl","OK")))))</f>
        <v/>
      </c>
      <c r="H276" s="10" t="n"/>
      <c r="I276" s="10" t="n"/>
    </row>
    <row r="277">
      <c r="A277" s="10" t="n"/>
      <c r="B277" s="10" t="n"/>
      <c r="C277" s="10" t="n"/>
      <c r="D277" s="16" t="n"/>
      <c r="E277" s="24" t="n"/>
      <c r="F277" s="13">
        <f>IF($B277="","",IF(COUNTIF(Katalog_Leistung,$B277)&gt;1,"! Bezeichnung doppelt",IF($A277="","! Kategorie fehlt",IF(ISNA(MATCH($A277,Kategorien,0)),"! Kategorie fehlt in Spalte I",IF(OR(AND($D277&lt;&gt;"",NOT(ISNUMBER($D277))),AND($E277&lt;&gt;"",NOT(ISNUMBER($E277)))),"! Preis oder Zeit ist keine Zahl","OK")))))</f>
        <v/>
      </c>
      <c r="H277" s="10" t="n"/>
      <c r="I277" s="10" t="n"/>
    </row>
    <row r="278">
      <c r="A278" s="10" t="n"/>
      <c r="B278" s="10" t="n"/>
      <c r="C278" s="10" t="n"/>
      <c r="D278" s="16" t="n"/>
      <c r="E278" s="24" t="n"/>
      <c r="F278" s="13">
        <f>IF($B278="","",IF(COUNTIF(Katalog_Leistung,$B278)&gt;1,"! Bezeichnung doppelt",IF($A278="","! Kategorie fehlt",IF(ISNA(MATCH($A278,Kategorien,0)),"! Kategorie fehlt in Spalte I",IF(OR(AND($D278&lt;&gt;"",NOT(ISNUMBER($D278))),AND($E278&lt;&gt;"",NOT(ISNUMBER($E278)))),"! Preis oder Zeit ist keine Zahl","OK")))))</f>
        <v/>
      </c>
      <c r="H278" s="10" t="n"/>
      <c r="I278" s="10" t="n"/>
    </row>
    <row r="279">
      <c r="A279" s="10" t="n"/>
      <c r="B279" s="10" t="n"/>
      <c r="C279" s="10" t="n"/>
      <c r="D279" s="16" t="n"/>
      <c r="E279" s="24" t="n"/>
      <c r="F279" s="13">
        <f>IF($B279="","",IF(COUNTIF(Katalog_Leistung,$B279)&gt;1,"! Bezeichnung doppelt",IF($A279="","! Kategorie fehlt",IF(ISNA(MATCH($A279,Kategorien,0)),"! Kategorie fehlt in Spalte I",IF(OR(AND($D279&lt;&gt;"",NOT(ISNUMBER($D279))),AND($E279&lt;&gt;"",NOT(ISNUMBER($E279)))),"! Preis oder Zeit ist keine Zahl","OK")))))</f>
        <v/>
      </c>
      <c r="H279" s="10" t="n"/>
      <c r="I279" s="10" t="n"/>
    </row>
    <row r="280">
      <c r="A280" s="10" t="n"/>
      <c r="B280" s="10" t="n"/>
      <c r="C280" s="10" t="n"/>
      <c r="D280" s="16" t="n"/>
      <c r="E280" s="24" t="n"/>
      <c r="F280" s="13">
        <f>IF($B280="","",IF(COUNTIF(Katalog_Leistung,$B280)&gt;1,"! Bezeichnung doppelt",IF($A280="","! Kategorie fehlt",IF(ISNA(MATCH($A280,Kategorien,0)),"! Kategorie fehlt in Spalte I",IF(OR(AND($D280&lt;&gt;"",NOT(ISNUMBER($D280))),AND($E280&lt;&gt;"",NOT(ISNUMBER($E280)))),"! Preis oder Zeit ist keine Zahl","OK")))))</f>
        <v/>
      </c>
      <c r="H280" s="10" t="n"/>
      <c r="I280" s="10" t="n"/>
    </row>
    <row r="281">
      <c r="A281" s="10" t="n"/>
      <c r="B281" s="10" t="n"/>
      <c r="C281" s="10" t="n"/>
      <c r="D281" s="16" t="n"/>
      <c r="E281" s="24" t="n"/>
      <c r="F281" s="13">
        <f>IF($B281="","",IF(COUNTIF(Katalog_Leistung,$B281)&gt;1,"! Bezeichnung doppelt",IF($A281="","! Kategorie fehlt",IF(ISNA(MATCH($A281,Kategorien,0)),"! Kategorie fehlt in Spalte I",IF(OR(AND($D281&lt;&gt;"",NOT(ISNUMBER($D281))),AND($E281&lt;&gt;"",NOT(ISNUMBER($E281)))),"! Preis oder Zeit ist keine Zahl","OK")))))</f>
        <v/>
      </c>
      <c r="H281" s="10" t="n"/>
      <c r="I281" s="10" t="n"/>
    </row>
    <row r="282">
      <c r="A282" s="10" t="n"/>
      <c r="B282" s="10" t="n"/>
      <c r="C282" s="10" t="n"/>
      <c r="D282" s="16" t="n"/>
      <c r="E282" s="24" t="n"/>
      <c r="F282" s="13">
        <f>IF($B282="","",IF(COUNTIF(Katalog_Leistung,$B282)&gt;1,"! Bezeichnung doppelt",IF($A282="","! Kategorie fehlt",IF(ISNA(MATCH($A282,Kategorien,0)),"! Kategorie fehlt in Spalte I",IF(OR(AND($D282&lt;&gt;"",NOT(ISNUMBER($D282))),AND($E282&lt;&gt;"",NOT(ISNUMBER($E282)))),"! Preis oder Zeit ist keine Zahl","OK")))))</f>
        <v/>
      </c>
      <c r="H282" s="10" t="n"/>
      <c r="I282" s="10" t="n"/>
    </row>
    <row r="283">
      <c r="A283" s="10" t="n"/>
      <c r="B283" s="10" t="n"/>
      <c r="C283" s="10" t="n"/>
      <c r="D283" s="16" t="n"/>
      <c r="E283" s="24" t="n"/>
      <c r="F283" s="13">
        <f>IF($B283="","",IF(COUNTIF(Katalog_Leistung,$B283)&gt;1,"! Bezeichnung doppelt",IF($A283="","! Kategorie fehlt",IF(ISNA(MATCH($A283,Kategorien,0)),"! Kategorie fehlt in Spalte I",IF(OR(AND($D283&lt;&gt;"",NOT(ISNUMBER($D283))),AND($E283&lt;&gt;"",NOT(ISNUMBER($E283)))),"! Preis oder Zeit ist keine Zahl","OK")))))</f>
        <v/>
      </c>
      <c r="H283" s="10" t="n"/>
      <c r="I283" s="10" t="n"/>
    </row>
    <row r="284">
      <c r="A284" s="10" t="n"/>
      <c r="B284" s="10" t="n"/>
      <c r="C284" s="10" t="n"/>
      <c r="D284" s="16" t="n"/>
      <c r="E284" s="24" t="n"/>
      <c r="F284" s="13">
        <f>IF($B284="","",IF(COUNTIF(Katalog_Leistung,$B284)&gt;1,"! Bezeichnung doppelt",IF($A284="","! Kategorie fehlt",IF(ISNA(MATCH($A284,Kategorien,0)),"! Kategorie fehlt in Spalte I",IF(OR(AND($D284&lt;&gt;"",NOT(ISNUMBER($D284))),AND($E284&lt;&gt;"",NOT(ISNUMBER($E284)))),"! Preis oder Zeit ist keine Zahl","OK")))))</f>
        <v/>
      </c>
      <c r="H284" s="10" t="n"/>
      <c r="I284" s="10" t="n"/>
    </row>
    <row r="285">
      <c r="A285" s="10" t="n"/>
      <c r="B285" s="10" t="n"/>
      <c r="C285" s="10" t="n"/>
      <c r="D285" s="16" t="n"/>
      <c r="E285" s="24" t="n"/>
      <c r="F285" s="13">
        <f>IF($B285="","",IF(COUNTIF(Katalog_Leistung,$B285)&gt;1,"! Bezeichnung doppelt",IF($A285="","! Kategorie fehlt",IF(ISNA(MATCH($A285,Kategorien,0)),"! Kategorie fehlt in Spalte I",IF(OR(AND($D285&lt;&gt;"",NOT(ISNUMBER($D285))),AND($E285&lt;&gt;"",NOT(ISNUMBER($E285)))),"! Preis oder Zeit ist keine Zahl","OK")))))</f>
        <v/>
      </c>
      <c r="H285" s="10" t="n"/>
      <c r="I285" s="10" t="n"/>
    </row>
    <row r="286">
      <c r="A286" s="10" t="n"/>
      <c r="B286" s="10" t="n"/>
      <c r="C286" s="10" t="n"/>
      <c r="D286" s="16" t="n"/>
      <c r="E286" s="24" t="n"/>
      <c r="F286" s="13">
        <f>IF($B286="","",IF(COUNTIF(Katalog_Leistung,$B286)&gt;1,"! Bezeichnung doppelt",IF($A286="","! Kategorie fehlt",IF(ISNA(MATCH($A286,Kategorien,0)),"! Kategorie fehlt in Spalte I",IF(OR(AND($D286&lt;&gt;"",NOT(ISNUMBER($D286))),AND($E286&lt;&gt;"",NOT(ISNUMBER($E286)))),"! Preis oder Zeit ist keine Zahl","OK")))))</f>
        <v/>
      </c>
      <c r="H286" s="10" t="n"/>
      <c r="I286" s="10" t="n"/>
    </row>
    <row r="287">
      <c r="A287" s="10" t="n"/>
      <c r="B287" s="10" t="n"/>
      <c r="C287" s="10" t="n"/>
      <c r="D287" s="16" t="n"/>
      <c r="E287" s="24" t="n"/>
      <c r="F287" s="13">
        <f>IF($B287="","",IF(COUNTIF(Katalog_Leistung,$B287)&gt;1,"! Bezeichnung doppelt",IF($A287="","! Kategorie fehlt",IF(ISNA(MATCH($A287,Kategorien,0)),"! Kategorie fehlt in Spalte I",IF(OR(AND($D287&lt;&gt;"",NOT(ISNUMBER($D287))),AND($E287&lt;&gt;"",NOT(ISNUMBER($E287)))),"! Preis oder Zeit ist keine Zahl","OK")))))</f>
        <v/>
      </c>
      <c r="H287" s="10" t="n"/>
      <c r="I287" s="10" t="n"/>
    </row>
    <row r="288">
      <c r="A288" s="10" t="n"/>
      <c r="B288" s="10" t="n"/>
      <c r="C288" s="10" t="n"/>
      <c r="D288" s="16" t="n"/>
      <c r="E288" s="24" t="n"/>
      <c r="F288" s="13">
        <f>IF($B288="","",IF(COUNTIF(Katalog_Leistung,$B288)&gt;1,"! Bezeichnung doppelt",IF($A288="","! Kategorie fehlt",IF(ISNA(MATCH($A288,Kategorien,0)),"! Kategorie fehlt in Spalte I",IF(OR(AND($D288&lt;&gt;"",NOT(ISNUMBER($D288))),AND($E288&lt;&gt;"",NOT(ISNUMBER($E288)))),"! Preis oder Zeit ist keine Zahl","OK")))))</f>
        <v/>
      </c>
      <c r="H288" s="10" t="n"/>
      <c r="I288" s="10" t="n"/>
    </row>
    <row r="289">
      <c r="A289" s="10" t="n"/>
      <c r="B289" s="10" t="n"/>
      <c r="C289" s="10" t="n"/>
      <c r="D289" s="16" t="n"/>
      <c r="E289" s="24" t="n"/>
      <c r="F289" s="13">
        <f>IF($B289="","",IF(COUNTIF(Katalog_Leistung,$B289)&gt;1,"! Bezeichnung doppelt",IF($A289="","! Kategorie fehlt",IF(ISNA(MATCH($A289,Kategorien,0)),"! Kategorie fehlt in Spalte I",IF(OR(AND($D289&lt;&gt;"",NOT(ISNUMBER($D289))),AND($E289&lt;&gt;"",NOT(ISNUMBER($E289)))),"! Preis oder Zeit ist keine Zahl","OK")))))</f>
        <v/>
      </c>
      <c r="H289" s="10" t="n"/>
      <c r="I289" s="10" t="n"/>
    </row>
    <row r="290">
      <c r="A290" s="10" t="n"/>
      <c r="B290" s="10" t="n"/>
      <c r="C290" s="10" t="n"/>
      <c r="D290" s="16" t="n"/>
      <c r="E290" s="24" t="n"/>
      <c r="F290" s="13">
        <f>IF($B290="","",IF(COUNTIF(Katalog_Leistung,$B290)&gt;1,"! Bezeichnung doppelt",IF($A290="","! Kategorie fehlt",IF(ISNA(MATCH($A290,Kategorien,0)),"! Kategorie fehlt in Spalte I",IF(OR(AND($D290&lt;&gt;"",NOT(ISNUMBER($D290))),AND($E290&lt;&gt;"",NOT(ISNUMBER($E290)))),"! Preis oder Zeit ist keine Zahl","OK")))))</f>
        <v/>
      </c>
      <c r="H290" s="10" t="n"/>
      <c r="I290" s="10" t="n"/>
    </row>
    <row r="291">
      <c r="A291" s="10" t="n"/>
      <c r="B291" s="10" t="n"/>
      <c r="C291" s="10" t="n"/>
      <c r="D291" s="16" t="n"/>
      <c r="E291" s="24" t="n"/>
      <c r="F291" s="13">
        <f>IF($B291="","",IF(COUNTIF(Katalog_Leistung,$B291)&gt;1,"! Bezeichnung doppelt",IF($A291="","! Kategorie fehlt",IF(ISNA(MATCH($A291,Kategorien,0)),"! Kategorie fehlt in Spalte I",IF(OR(AND($D291&lt;&gt;"",NOT(ISNUMBER($D291))),AND($E291&lt;&gt;"",NOT(ISNUMBER($E291)))),"! Preis oder Zeit ist keine Zahl","OK")))))</f>
        <v/>
      </c>
      <c r="H291" s="10" t="n"/>
      <c r="I291" s="10" t="n"/>
    </row>
    <row r="292">
      <c r="A292" s="10" t="n"/>
      <c r="B292" s="10" t="n"/>
      <c r="C292" s="10" t="n"/>
      <c r="D292" s="16" t="n"/>
      <c r="E292" s="24" t="n"/>
      <c r="F292" s="13">
        <f>IF($B292="","",IF(COUNTIF(Katalog_Leistung,$B292)&gt;1,"! Bezeichnung doppelt",IF($A292="","! Kategorie fehlt",IF(ISNA(MATCH($A292,Kategorien,0)),"! Kategorie fehlt in Spalte I",IF(OR(AND($D292&lt;&gt;"",NOT(ISNUMBER($D292))),AND($E292&lt;&gt;"",NOT(ISNUMBER($E292)))),"! Preis oder Zeit ist keine Zahl","OK")))))</f>
        <v/>
      </c>
      <c r="H292" s="10" t="n"/>
      <c r="I292" s="10" t="n"/>
    </row>
    <row r="293">
      <c r="A293" s="10" t="n"/>
      <c r="B293" s="10" t="n"/>
      <c r="C293" s="10" t="n"/>
      <c r="D293" s="16" t="n"/>
      <c r="E293" s="24" t="n"/>
      <c r="F293" s="13">
        <f>IF($B293="","",IF(COUNTIF(Katalog_Leistung,$B293)&gt;1,"! Bezeichnung doppelt",IF($A293="","! Kategorie fehlt",IF(ISNA(MATCH($A293,Kategorien,0)),"! Kategorie fehlt in Spalte I",IF(OR(AND($D293&lt;&gt;"",NOT(ISNUMBER($D293))),AND($E293&lt;&gt;"",NOT(ISNUMBER($E293)))),"! Preis oder Zeit ist keine Zahl","OK")))))</f>
        <v/>
      </c>
      <c r="H293" s="10" t="n"/>
      <c r="I293" s="10" t="n"/>
    </row>
    <row r="294">
      <c r="A294" s="10" t="n"/>
      <c r="B294" s="10" t="n"/>
      <c r="C294" s="10" t="n"/>
      <c r="D294" s="16" t="n"/>
      <c r="E294" s="24" t="n"/>
      <c r="F294" s="13">
        <f>IF($B294="","",IF(COUNTIF(Katalog_Leistung,$B294)&gt;1,"! Bezeichnung doppelt",IF($A294="","! Kategorie fehlt",IF(ISNA(MATCH($A294,Kategorien,0)),"! Kategorie fehlt in Spalte I",IF(OR(AND($D294&lt;&gt;"",NOT(ISNUMBER($D294))),AND($E294&lt;&gt;"",NOT(ISNUMBER($E294)))),"! Preis oder Zeit ist keine Zahl","OK")))))</f>
        <v/>
      </c>
      <c r="H294" s="10" t="n"/>
      <c r="I294" s="10" t="n"/>
    </row>
    <row r="295">
      <c r="A295" s="10" t="n"/>
      <c r="B295" s="10" t="n"/>
      <c r="C295" s="10" t="n"/>
      <c r="D295" s="16" t="n"/>
      <c r="E295" s="24" t="n"/>
      <c r="F295" s="13">
        <f>IF($B295="","",IF(COUNTIF(Katalog_Leistung,$B295)&gt;1,"! Bezeichnung doppelt",IF($A295="","! Kategorie fehlt",IF(ISNA(MATCH($A295,Kategorien,0)),"! Kategorie fehlt in Spalte I",IF(OR(AND($D295&lt;&gt;"",NOT(ISNUMBER($D295))),AND($E295&lt;&gt;"",NOT(ISNUMBER($E295)))),"! Preis oder Zeit ist keine Zahl","OK")))))</f>
        <v/>
      </c>
      <c r="H295" s="10" t="n"/>
      <c r="I295" s="10" t="n"/>
    </row>
    <row r="296">
      <c r="A296" s="10" t="n"/>
      <c r="B296" s="10" t="n"/>
      <c r="C296" s="10" t="n"/>
      <c r="D296" s="16" t="n"/>
      <c r="E296" s="24" t="n"/>
      <c r="F296" s="13">
        <f>IF($B296="","",IF(COUNTIF(Katalog_Leistung,$B296)&gt;1,"! Bezeichnung doppelt",IF($A296="","! Kategorie fehlt",IF(ISNA(MATCH($A296,Kategorien,0)),"! Kategorie fehlt in Spalte I",IF(OR(AND($D296&lt;&gt;"",NOT(ISNUMBER($D296))),AND($E296&lt;&gt;"",NOT(ISNUMBER($E296)))),"! Preis oder Zeit ist keine Zahl","OK")))))</f>
        <v/>
      </c>
      <c r="H296" s="10" t="n"/>
      <c r="I296" s="10" t="n"/>
    </row>
    <row r="297">
      <c r="A297" s="10" t="n"/>
      <c r="B297" s="10" t="n"/>
      <c r="C297" s="10" t="n"/>
      <c r="D297" s="16" t="n"/>
      <c r="E297" s="24" t="n"/>
      <c r="F297" s="13">
        <f>IF($B297="","",IF(COUNTIF(Katalog_Leistung,$B297)&gt;1,"! Bezeichnung doppelt",IF($A297="","! Kategorie fehlt",IF(ISNA(MATCH($A297,Kategorien,0)),"! Kategorie fehlt in Spalte I",IF(OR(AND($D297&lt;&gt;"",NOT(ISNUMBER($D297))),AND($E297&lt;&gt;"",NOT(ISNUMBER($E297)))),"! Preis oder Zeit ist keine Zahl","OK")))))</f>
        <v/>
      </c>
      <c r="H297" s="10" t="n"/>
      <c r="I297" s="10" t="n"/>
    </row>
    <row r="298">
      <c r="A298" s="10" t="n"/>
      <c r="B298" s="10" t="n"/>
      <c r="C298" s="10" t="n"/>
      <c r="D298" s="16" t="n"/>
      <c r="E298" s="24" t="n"/>
      <c r="F298" s="13">
        <f>IF($B298="","",IF(COUNTIF(Katalog_Leistung,$B298)&gt;1,"! Bezeichnung doppelt",IF($A298="","! Kategorie fehlt",IF(ISNA(MATCH($A298,Kategorien,0)),"! Kategorie fehlt in Spalte I",IF(OR(AND($D298&lt;&gt;"",NOT(ISNUMBER($D298))),AND($E298&lt;&gt;"",NOT(ISNUMBER($E298)))),"! Preis oder Zeit ist keine Zahl","OK")))))</f>
        <v/>
      </c>
      <c r="H298" s="10" t="n"/>
      <c r="I298" s="10" t="n"/>
    </row>
    <row r="299">
      <c r="A299" s="10" t="n"/>
      <c r="B299" s="10" t="n"/>
      <c r="C299" s="10" t="n"/>
      <c r="D299" s="16" t="n"/>
      <c r="E299" s="24" t="n"/>
      <c r="F299" s="13">
        <f>IF($B299="","",IF(COUNTIF(Katalog_Leistung,$B299)&gt;1,"! Bezeichnung doppelt",IF($A299="","! Kategorie fehlt",IF(ISNA(MATCH($A299,Kategorien,0)),"! Kategorie fehlt in Spalte I",IF(OR(AND($D299&lt;&gt;"",NOT(ISNUMBER($D299))),AND($E299&lt;&gt;"",NOT(ISNUMBER($E299)))),"! Preis oder Zeit ist keine Zahl","OK")))))</f>
        <v/>
      </c>
      <c r="H299" s="10" t="n"/>
      <c r="I299" s="10" t="n"/>
    </row>
    <row r="300">
      <c r="A300" s="10" t="n"/>
      <c r="B300" s="10" t="n"/>
      <c r="C300" s="10" t="n"/>
      <c r="D300" s="16" t="n"/>
      <c r="E300" s="24" t="n"/>
      <c r="F300" s="13">
        <f>IF($B300="","",IF(COUNTIF(Katalog_Leistung,$B300)&gt;1,"! Bezeichnung doppelt",IF($A300="","! Kategorie fehlt",IF(ISNA(MATCH($A300,Kategorien,0)),"! Kategorie fehlt in Spalte I",IF(OR(AND($D300&lt;&gt;"",NOT(ISNUMBER($D300))),AND($E300&lt;&gt;"",NOT(ISNUMBER($E300)))),"! Preis oder Zeit ist keine Zahl","OK")))))</f>
        <v/>
      </c>
      <c r="H300" s="10" t="n"/>
      <c r="I300" s="10" t="n"/>
    </row>
    <row r="301">
      <c r="A301" s="10" t="n"/>
      <c r="B301" s="10" t="n"/>
      <c r="C301" s="10" t="n"/>
      <c r="D301" s="16" t="n"/>
      <c r="E301" s="24" t="n"/>
      <c r="F301" s="13">
        <f>IF($B301="","",IF(COUNTIF(Katalog_Leistung,$B301)&gt;1,"! Bezeichnung doppelt",IF($A301="","! Kategorie fehlt",IF(ISNA(MATCH($A301,Kategorien,0)),"! Kategorie fehlt in Spalte I",IF(OR(AND($D301&lt;&gt;"",NOT(ISNUMBER($D301))),AND($E301&lt;&gt;"",NOT(ISNUMBER($E301)))),"! Preis oder Zeit ist keine Zahl","OK")))))</f>
        <v/>
      </c>
      <c r="H301" s="10" t="n"/>
      <c r="I301" s="10" t="n"/>
    </row>
    <row r="302">
      <c r="A302" s="10" t="n"/>
      <c r="B302" s="10" t="n"/>
      <c r="C302" s="10" t="n"/>
      <c r="D302" s="16" t="n"/>
      <c r="E302" s="24" t="n"/>
      <c r="F302" s="13">
        <f>IF($B302="","",IF(COUNTIF(Katalog_Leistung,$B302)&gt;1,"! Bezeichnung doppelt",IF($A302="","! Kategorie fehlt",IF(ISNA(MATCH($A302,Kategorien,0)),"! Kategorie fehlt in Spalte I",IF(OR(AND($D302&lt;&gt;"",NOT(ISNUMBER($D302))),AND($E302&lt;&gt;"",NOT(ISNUMBER($E302)))),"! Preis oder Zeit ist keine Zahl","OK")))))</f>
        <v/>
      </c>
      <c r="H302" s="10" t="n"/>
      <c r="I302" s="10" t="n"/>
    </row>
    <row r="303">
      <c r="A303" s="10" t="n"/>
      <c r="B303" s="10" t="n"/>
      <c r="C303" s="10" t="n"/>
      <c r="D303" s="16" t="n"/>
      <c r="E303" s="24" t="n"/>
      <c r="F303" s="13">
        <f>IF($B303="","",IF(COUNTIF(Katalog_Leistung,$B303)&gt;1,"! Bezeichnung doppelt",IF($A303="","! Kategorie fehlt",IF(ISNA(MATCH($A303,Kategorien,0)),"! Kategorie fehlt in Spalte I",IF(OR(AND($D303&lt;&gt;"",NOT(ISNUMBER($D303))),AND($E303&lt;&gt;"",NOT(ISNUMBER($E303)))),"! Preis oder Zeit ist keine Zahl","OK")))))</f>
        <v/>
      </c>
      <c r="H303" s="10" t="n"/>
      <c r="I303" s="10" t="n"/>
    </row>
  </sheetData>
  <sheetProtection selectLockedCells="0" selectUnlockedCells="0" sheet="1" objects="0" insertRows="0" insertHyperlinks="1" autoFilter="1" scenarios="0" formatColumns="0" deleteColumns="1" insertColumns="1" pivotTables="1" deleteRows="1" formatCells="1" formatRows="0" sort="1" password="8F87"/>
  <conditionalFormatting sqref="F1">
    <cfRule type="expression" priority="1" dxfId="0">
      <formula>ISNUMBER(SEARCH("!",$F$1))</formula>
    </cfRule>
  </conditionalFormatting>
  <conditionalFormatting sqref="F4:F303">
    <cfRule type="expression" priority="2" dxfId="0">
      <formula>LEFT($F4,1)="!"</formula>
    </cfRule>
  </conditionalFormatting>
  <conditionalFormatting sqref="A4:E303">
    <cfRule type="expression" priority="3" dxfId="0">
      <formula>AND($B4&lt;&gt;"",OR(COUNTIF(Katalog_Leistung,$B4)&gt;1,$A4="",ISNA(MATCH($A4,Kategorien,0)),AND($D4&lt;&gt;"",NOT(ISNUMBER($D4))),AND($E4&lt;&gt;"",NOT(ISNUMBER($E4)))))</formula>
    </cfRule>
  </conditionalFormatting>
  <dataValidations count="3">
    <dataValidation sqref="E1" showDropDown="0" showInputMessage="1" showErrorMessage="1" allowBlank="1" errorTitle="Datum ungültig" error="Bitte das Datum eintragen, auf dem die Materialpreise beruhen." promptTitle="Preisstand" prompt="Datum, auf dem die Materialpreise im Katalog beruhen. Nach einer Preisaktualisierung hier das neue Datum eintragen." type="date" operator="between">
      <formula1>DATE(2020,1,1)</formula1>
      <formula2>DATE(2099,12,31)</formula2>
    </dataValidation>
    <dataValidation sqref="D4:E303" showDropDown="0" showInputMessage="0" showErrorMessage="1" allowBlank="1" errorTitle="Ungültiger Wert" error="Bitte eine Zahl größer oder gleich 0 eintragen." type="decimal" operator="greaterThanOrEqual">
      <formula1>0</formula1>
    </dataValidation>
    <dataValidation sqref="A4:A303" showDropDown="0" showInputMessage="0" showErrorMessage="1" allowBlank="1" errorTitle="Kategorie noch nicht in der Liste" error="Diese Kategorie steht noch nicht in Spalte I. Mit Ja übernehmen und danach in Spalte I ergänzen." type="list" errorStyle="warning">
      <formula1>Kategorien</formula1>
    </dataValidation>
  </dataValidation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0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0" customWidth="1" min="3" max="3"/>
    <col width="22" customWidth="1" min="4" max="4"/>
    <col width="20" customWidth="1" min="5" max="5"/>
    <col width="12" customWidth="1" min="6" max="6"/>
    <col width="2" customWidth="1" min="7" max="7"/>
    <col width="52" customWidth="1" min="8" max="8"/>
    <col width="8" customWidth="1" min="9" max="9"/>
    <col width="8" customWidth="1" min="10" max="10"/>
    <col width="8" customWidth="1" min="11" max="11"/>
    <col width="8" customWidth="1" min="12" max="12"/>
    <col width="70" customWidth="1" min="13" max="13"/>
    <col width="70" customWidth="1" min="14" max="14"/>
    <col width="2" customWidth="1" min="15" max="15"/>
    <col width="8" customWidth="1" min="16" max="16"/>
  </cols>
  <sheetData>
    <row r="1">
      <c r="A1" s="35" t="inlineStr">
        <is>
          <t>Dokumentart</t>
        </is>
      </c>
      <c r="B1" s="35" t="inlineStr">
        <is>
          <t>Summenwort</t>
        </is>
      </c>
      <c r="C1" s="35" t="inlineStr">
        <is>
          <t>Einleitung</t>
        </is>
      </c>
      <c r="D1" s="35" t="inlineStr">
        <is>
          <t>Nummer</t>
        </is>
      </c>
      <c r="E1" s="35" t="inlineStr">
        <is>
          <t>Empfänger</t>
        </is>
      </c>
      <c r="F1" s="35" t="inlineStr">
        <is>
          <t>Gültigkeit</t>
        </is>
      </c>
      <c r="H1" s="35" t="inlineStr">
        <is>
          <t>Umsatzsteuer-Behandlung</t>
        </is>
      </c>
      <c r="I1" s="35" t="inlineStr">
        <is>
          <t>USt ausweisen</t>
        </is>
      </c>
      <c r="J1" s="35" t="inlineStr">
        <is>
          <t>Satz aus Parameter</t>
        </is>
      </c>
      <c r="K1" s="35" t="inlineStr">
        <is>
          <t>Summe netto</t>
        </is>
      </c>
      <c r="L1" s="35" t="inlineStr">
        <is>
          <t>§ 35a möglich</t>
        </is>
      </c>
      <c r="M1" s="35" t="inlineStr">
        <is>
          <t>Hinweis Zeile 1</t>
        </is>
      </c>
      <c r="N1" s="35" t="inlineStr">
        <is>
          <t>Hinweis Zeile 2</t>
        </is>
      </c>
      <c r="P1" s="35" t="inlineStr">
        <is>
          <t>Ja/Nein</t>
        </is>
      </c>
      <c r="R1" s="35" t="inlineStr">
        <is>
          <t>USt-Sätze</t>
        </is>
      </c>
      <c r="T1" s="35" t="inlineStr">
        <is>
          <t>Pos. Kategorie</t>
        </is>
      </c>
      <c r="U1" s="35" t="inlineStr">
        <is>
          <t>Kategorien</t>
        </is>
      </c>
      <c r="W1" s="35" t="inlineStr">
        <is>
          <t>Pos. Bereich</t>
        </is>
      </c>
      <c r="X1" s="35" t="inlineStr">
        <is>
          <t>Bereiche</t>
        </is>
      </c>
      <c r="Z1" s="35" t="inlineStr">
        <is>
          <t>Schlüssel</t>
        </is>
      </c>
      <c r="AA1" s="35" t="inlineStr">
        <is>
          <t>sortiert</t>
        </is>
      </c>
      <c r="AB1" s="35" t="inlineStr">
        <is>
          <t>Kategorie</t>
        </is>
      </c>
      <c r="AC1" s="35" t="inlineStr">
        <is>
          <t>Leistung</t>
        </is>
      </c>
    </row>
    <row r="2">
      <c r="A2" t="inlineStr">
        <is>
          <t>Angebot</t>
        </is>
      </c>
      <c r="B2" t="inlineStr">
        <is>
          <t>Angebotssumme</t>
        </is>
      </c>
      <c r="C2" t="inlineStr">
        <is>
          <t>Sehr geehrte Damen und Herren, vielen Dank für Ihre Anfrage. Für das oben genannte Bauvorhaben unterbreiten wir Ihnen folgendes Angebot:</t>
        </is>
      </c>
      <c r="D2" t="inlineStr">
        <is>
          <t>Angebotsnummer</t>
        </is>
      </c>
      <c r="E2" t="inlineStr">
        <is>
          <t>Angebotsempfänger</t>
        </is>
      </c>
      <c r="F2" t="inlineStr">
        <is>
          <t>Gültig bis</t>
        </is>
      </c>
      <c r="H2" t="inlineStr">
        <is>
          <t>Regelbesteuerung</t>
        </is>
      </c>
      <c r="I2" t="n">
        <v>1</v>
      </c>
      <c r="J2" t="n">
        <v>1</v>
      </c>
      <c r="K2" t="n">
        <v>1</v>
      </c>
      <c r="L2" t="n">
        <v>1</v>
      </c>
      <c r="P2" t="inlineStr">
        <is>
          <t>Ja</t>
        </is>
      </c>
      <c r="R2" s="56" t="n">
        <v>0.19</v>
      </c>
      <c r="T2">
        <f>IF(INDEX(Stammdaten!$I$3:$I$303,2)="","",1)</f>
        <v/>
      </c>
      <c r="U2">
        <f>IFERROR(INDEX(Stammdaten!$I$3:$I$303,SMALL($T$2:$T$301,1)+1),"")</f>
        <v/>
      </c>
      <c r="W2">
        <f>IF(INDEX(Stammdaten!$H$3:$H$303,2)="","",1)</f>
        <v/>
      </c>
      <c r="X2">
        <f>IFERROR(INDEX(Stammdaten!$H$3:$H$303,SMALL($W$2:$W$301,1)+1),"")</f>
        <v/>
      </c>
      <c r="Z2">
        <f>IF(INDEX(Stammdaten!$B$3:$B$303,2)="","",IFERROR(MATCH(INDEX(Stammdaten!$A$3:$A$303,2),Kategorien,0),999)*1000+1)</f>
        <v/>
      </c>
      <c r="AA2">
        <f>IFERROR(SMALL($Z$2:$Z$301,1),"")</f>
        <v/>
      </c>
      <c r="AB2">
        <f>IF($AA2="","",INDEX(Stammdaten!$A$3:$A$303,MOD($AA2,1000)+1)&amp;"")</f>
        <v/>
      </c>
      <c r="AC2">
        <f>IF($AA2="","",INDEX(Stammdaten!$B$3:$B$303,MOD($AA2,1000)+1))</f>
        <v/>
      </c>
    </row>
    <row r="3">
      <c r="A3" t="inlineStr">
        <is>
          <t>Kostenvoranschlag</t>
        </is>
      </c>
      <c r="B3" t="inlineStr">
        <is>
          <t>Gesamtsumme</t>
        </is>
      </c>
      <c r="C3" t="inlineStr">
        <is>
          <t>Sehr geehrte Damen und Herren, vielen Dank für Ihre Anfrage. Für das oben genannte Bauvorhaben erhalten Sie unseren Kostenvoranschlag:</t>
        </is>
      </c>
      <c r="D3" t="inlineStr">
        <is>
          <t>Kostenvoranschlag Nr.</t>
        </is>
      </c>
      <c r="E3" t="inlineStr">
        <is>
          <t>Empfänger</t>
        </is>
      </c>
      <c r="F3" t="inlineStr">
        <is>
          <t>Gültig bis</t>
        </is>
      </c>
      <c r="H3" t="inlineStr">
        <is>
          <t>§ 13b UStG – Steuerschuldnerschaft Leistungsempfänger</t>
        </is>
      </c>
      <c r="I3" t="n">
        <v>0</v>
      </c>
      <c r="J3" t="n">
        <v>0</v>
      </c>
      <c r="K3" t="n">
        <v>1</v>
      </c>
      <c r="L3" t="n">
        <v>0</v>
      </c>
      <c r="M3" t="inlineStr">
        <is>
          <t>Steuerschuldnerschaft des Leistungsempfängers nach § 13b UStG. Die</t>
        </is>
      </c>
      <c r="N3" t="inlineStr">
        <is>
          <t>Umsatzsteuer ist vom Leistungsempfänger anzumelden und abzuführen.</t>
        </is>
      </c>
      <c r="P3" t="inlineStr">
        <is>
          <t>Nein</t>
        </is>
      </c>
      <c r="R3" s="56" t="n">
        <v>0.07000000000000001</v>
      </c>
      <c r="T3">
        <f>IF(INDEX(Stammdaten!$I$3:$I$303,3)="","",2)</f>
        <v/>
      </c>
      <c r="U3">
        <f>IFERROR(INDEX(Stammdaten!$I$3:$I$303,SMALL($T$2:$T$301,2)+1),"")</f>
        <v/>
      </c>
      <c r="W3">
        <f>IF(INDEX(Stammdaten!$H$3:$H$303,3)="","",2)</f>
        <v/>
      </c>
      <c r="X3">
        <f>IFERROR(INDEX(Stammdaten!$H$3:$H$303,SMALL($W$2:$W$301,2)+1),"")</f>
        <v/>
      </c>
      <c r="Z3">
        <f>IF(INDEX(Stammdaten!$B$3:$B$303,3)="","",IFERROR(MATCH(INDEX(Stammdaten!$A$3:$A$303,3),Kategorien,0),999)*1000+2)</f>
        <v/>
      </c>
      <c r="AA3">
        <f>IFERROR(SMALL($Z$2:$Z$301,2),"")</f>
        <v/>
      </c>
      <c r="AB3">
        <f>IF($AA3="","",INDEX(Stammdaten!$A$3:$A$303,MOD($AA3,1000)+1)&amp;"")</f>
        <v/>
      </c>
      <c r="AC3">
        <f>IF($AA3="","",INDEX(Stammdaten!$B$3:$B$303,MOD($AA3,1000)+1))</f>
        <v/>
      </c>
    </row>
    <row r="4">
      <c r="A4" t="inlineStr">
        <is>
          <t>Auftragsbestätigung</t>
        </is>
      </c>
      <c r="B4" t="inlineStr">
        <is>
          <t>Auftragssumme</t>
        </is>
      </c>
      <c r="C4" t="inlineStr">
        <is>
          <t>Sehr geehrte Damen und Herren, vielen Dank für Ihren Auftrag. Für das oben genannte Bauvorhaben bestätigen wir Ihnen folgende Leistungen:</t>
        </is>
      </c>
      <c r="D4" t="inlineStr">
        <is>
          <t>Auftragsnummer</t>
        </is>
      </c>
      <c r="E4" t="inlineStr">
        <is>
          <t>Auftraggeber</t>
        </is>
      </c>
      <c r="H4" t="inlineStr">
        <is>
          <t>§ 19 UStG – Kleinunternehmer</t>
        </is>
      </c>
      <c r="I4" t="n">
        <v>0</v>
      </c>
      <c r="J4" t="n">
        <v>0</v>
      </c>
      <c r="K4" t="n">
        <v>0</v>
      </c>
      <c r="L4" t="n">
        <v>1</v>
      </c>
      <c r="M4" t="inlineStr">
        <is>
          <t>Gemäß § 19 UStG wird keine Umsatzsteuer berechnet.</t>
        </is>
      </c>
      <c r="R4" s="56" t="n">
        <v>0</v>
      </c>
      <c r="T4">
        <f>IF(INDEX(Stammdaten!$I$3:$I$303,4)="","",3)</f>
        <v/>
      </c>
      <c r="U4">
        <f>IFERROR(INDEX(Stammdaten!$I$3:$I$303,SMALL($T$2:$T$301,3)+1),"")</f>
        <v/>
      </c>
      <c r="W4">
        <f>IF(INDEX(Stammdaten!$H$3:$H$303,4)="","",3)</f>
        <v/>
      </c>
      <c r="X4">
        <f>IFERROR(INDEX(Stammdaten!$H$3:$H$303,SMALL($W$2:$W$301,3)+1),"")</f>
        <v/>
      </c>
      <c r="Z4">
        <f>IF(INDEX(Stammdaten!$B$3:$B$303,4)="","",IFERROR(MATCH(INDEX(Stammdaten!$A$3:$A$303,4),Kategorien,0),999)*1000+3)</f>
        <v/>
      </c>
      <c r="AA4">
        <f>IFERROR(SMALL($Z$2:$Z$301,3),"")</f>
        <v/>
      </c>
      <c r="AB4">
        <f>IF($AA4="","",INDEX(Stammdaten!$A$3:$A$303,MOD($AA4,1000)+1)&amp;"")</f>
        <v/>
      </c>
      <c r="AC4">
        <f>IF($AA4="","",INDEX(Stammdaten!$B$3:$B$303,MOD($AA4,1000)+1))</f>
        <v/>
      </c>
    </row>
    <row r="5">
      <c r="H5" t="inlineStr">
        <is>
          <t>§ 12 Abs. 3 UStG – Nullsteuersatz Photovoltaik</t>
        </is>
      </c>
      <c r="I5" t="n">
        <v>1</v>
      </c>
      <c r="J5" t="n">
        <v>0</v>
      </c>
      <c r="K5" t="n">
        <v>1</v>
      </c>
      <c r="L5" t="n">
        <v>1</v>
      </c>
      <c r="M5" t="inlineStr">
        <is>
          <t>Umsatzsteuersatz 0 % nach § 12 Abs. 3 UStG für Lieferung und Installation</t>
        </is>
      </c>
      <c r="N5" t="inlineStr">
        <is>
          <t>einer Photovoltaikanlage.</t>
        </is>
      </c>
      <c r="T5">
        <f>IF(INDEX(Stammdaten!$I$3:$I$303,5)="","",4)</f>
        <v/>
      </c>
      <c r="U5">
        <f>IFERROR(INDEX(Stammdaten!$I$3:$I$303,SMALL($T$2:$T$301,4)+1),"")</f>
        <v/>
      </c>
      <c r="W5">
        <f>IF(INDEX(Stammdaten!$H$3:$H$303,5)="","",4)</f>
        <v/>
      </c>
      <c r="X5">
        <f>IFERROR(INDEX(Stammdaten!$H$3:$H$303,SMALL($W$2:$W$301,4)+1),"")</f>
        <v/>
      </c>
      <c r="Z5">
        <f>IF(INDEX(Stammdaten!$B$3:$B$303,5)="","",IFERROR(MATCH(INDEX(Stammdaten!$A$3:$A$303,5),Kategorien,0),999)*1000+4)</f>
        <v/>
      </c>
      <c r="AA5">
        <f>IFERROR(SMALL($Z$2:$Z$301,4),"")</f>
        <v/>
      </c>
      <c r="AB5">
        <f>IF($AA5="","",INDEX(Stammdaten!$A$3:$A$303,MOD($AA5,1000)+1)&amp;"")</f>
        <v/>
      </c>
      <c r="AC5">
        <f>IF($AA5="","",INDEX(Stammdaten!$B$3:$B$303,MOD($AA5,1000)+1))</f>
        <v/>
      </c>
    </row>
    <row r="6">
      <c r="T6">
        <f>IF(INDEX(Stammdaten!$I$3:$I$303,6)="","",5)</f>
        <v/>
      </c>
      <c r="U6">
        <f>IFERROR(INDEX(Stammdaten!$I$3:$I$303,SMALL($T$2:$T$301,5)+1),"")</f>
        <v/>
      </c>
      <c r="W6">
        <f>IF(INDEX(Stammdaten!$H$3:$H$303,6)="","",5)</f>
        <v/>
      </c>
      <c r="X6">
        <f>IFERROR(INDEX(Stammdaten!$H$3:$H$303,SMALL($W$2:$W$301,5)+1),"")</f>
        <v/>
      </c>
      <c r="Z6">
        <f>IF(INDEX(Stammdaten!$B$3:$B$303,6)="","",IFERROR(MATCH(INDEX(Stammdaten!$A$3:$A$303,6),Kategorien,0),999)*1000+5)</f>
        <v/>
      </c>
      <c r="AA6">
        <f>IFERROR(SMALL($Z$2:$Z$301,5),"")</f>
        <v/>
      </c>
      <c r="AB6">
        <f>IF($AA6="","",INDEX(Stammdaten!$A$3:$A$303,MOD($AA6,1000)+1)&amp;"")</f>
        <v/>
      </c>
      <c r="AC6">
        <f>IF($AA6="","",INDEX(Stammdaten!$B$3:$B$303,MOD($AA6,1000)+1))</f>
        <v/>
      </c>
    </row>
    <row r="7">
      <c r="T7">
        <f>IF(INDEX(Stammdaten!$I$3:$I$303,7)="","",6)</f>
        <v/>
      </c>
      <c r="U7">
        <f>IFERROR(INDEX(Stammdaten!$I$3:$I$303,SMALL($T$2:$T$301,6)+1),"")</f>
        <v/>
      </c>
      <c r="W7">
        <f>IF(INDEX(Stammdaten!$H$3:$H$303,7)="","",6)</f>
        <v/>
      </c>
      <c r="X7">
        <f>IFERROR(INDEX(Stammdaten!$H$3:$H$303,SMALL($W$2:$W$301,6)+1),"")</f>
        <v/>
      </c>
      <c r="Z7">
        <f>IF(INDEX(Stammdaten!$B$3:$B$303,7)="","",IFERROR(MATCH(INDEX(Stammdaten!$A$3:$A$303,7),Kategorien,0),999)*1000+6)</f>
        <v/>
      </c>
      <c r="AA7">
        <f>IFERROR(SMALL($Z$2:$Z$301,6),"")</f>
        <v/>
      </c>
      <c r="AB7">
        <f>IF($AA7="","",INDEX(Stammdaten!$A$3:$A$303,MOD($AA7,1000)+1)&amp;"")</f>
        <v/>
      </c>
      <c r="AC7">
        <f>IF($AA7="","",INDEX(Stammdaten!$B$3:$B$303,MOD($AA7,1000)+1))</f>
        <v/>
      </c>
    </row>
    <row r="8">
      <c r="T8">
        <f>IF(INDEX(Stammdaten!$I$3:$I$303,8)="","",7)</f>
        <v/>
      </c>
      <c r="U8">
        <f>IFERROR(INDEX(Stammdaten!$I$3:$I$303,SMALL($T$2:$T$301,7)+1),"")</f>
        <v/>
      </c>
      <c r="W8">
        <f>IF(INDEX(Stammdaten!$H$3:$H$303,8)="","",7)</f>
        <v/>
      </c>
      <c r="X8">
        <f>IFERROR(INDEX(Stammdaten!$H$3:$H$303,SMALL($W$2:$W$301,7)+1),"")</f>
        <v/>
      </c>
      <c r="Z8">
        <f>IF(INDEX(Stammdaten!$B$3:$B$303,8)="","",IFERROR(MATCH(INDEX(Stammdaten!$A$3:$A$303,8),Kategorien,0),999)*1000+7)</f>
        <v/>
      </c>
      <c r="AA8">
        <f>IFERROR(SMALL($Z$2:$Z$301,7),"")</f>
        <v/>
      </c>
      <c r="AB8">
        <f>IF($AA8="","",INDEX(Stammdaten!$A$3:$A$303,MOD($AA8,1000)+1)&amp;"")</f>
        <v/>
      </c>
      <c r="AC8">
        <f>IF($AA8="","",INDEX(Stammdaten!$B$3:$B$303,MOD($AA8,1000)+1))</f>
        <v/>
      </c>
    </row>
    <row r="9">
      <c r="T9">
        <f>IF(INDEX(Stammdaten!$I$3:$I$303,9)="","",8)</f>
        <v/>
      </c>
      <c r="U9">
        <f>IFERROR(INDEX(Stammdaten!$I$3:$I$303,SMALL($T$2:$T$301,8)+1),"")</f>
        <v/>
      </c>
      <c r="W9">
        <f>IF(INDEX(Stammdaten!$H$3:$H$303,9)="","",8)</f>
        <v/>
      </c>
      <c r="X9">
        <f>IFERROR(INDEX(Stammdaten!$H$3:$H$303,SMALL($W$2:$W$301,8)+1),"")</f>
        <v/>
      </c>
      <c r="Z9">
        <f>IF(INDEX(Stammdaten!$B$3:$B$303,9)="","",IFERROR(MATCH(INDEX(Stammdaten!$A$3:$A$303,9),Kategorien,0),999)*1000+8)</f>
        <v/>
      </c>
      <c r="AA9">
        <f>IFERROR(SMALL($Z$2:$Z$301,8),"")</f>
        <v/>
      </c>
      <c r="AB9">
        <f>IF($AA9="","",INDEX(Stammdaten!$A$3:$A$303,MOD($AA9,1000)+1)&amp;"")</f>
        <v/>
      </c>
      <c r="AC9">
        <f>IF($AA9="","",INDEX(Stammdaten!$B$3:$B$303,MOD($AA9,1000)+1))</f>
        <v/>
      </c>
    </row>
    <row r="10">
      <c r="T10">
        <f>IF(INDEX(Stammdaten!$I$3:$I$303,10)="","",9)</f>
        <v/>
      </c>
      <c r="U10">
        <f>IFERROR(INDEX(Stammdaten!$I$3:$I$303,SMALL($T$2:$T$301,9)+1),"")</f>
        <v/>
      </c>
      <c r="W10">
        <f>IF(INDEX(Stammdaten!$H$3:$H$303,10)="","",9)</f>
        <v/>
      </c>
      <c r="X10">
        <f>IFERROR(INDEX(Stammdaten!$H$3:$H$303,SMALL($W$2:$W$301,9)+1),"")</f>
        <v/>
      </c>
      <c r="Z10">
        <f>IF(INDEX(Stammdaten!$B$3:$B$303,10)="","",IFERROR(MATCH(INDEX(Stammdaten!$A$3:$A$303,10),Kategorien,0),999)*1000+9)</f>
        <v/>
      </c>
      <c r="AA10">
        <f>IFERROR(SMALL($Z$2:$Z$301,9),"")</f>
        <v/>
      </c>
      <c r="AB10">
        <f>IF($AA10="","",INDEX(Stammdaten!$A$3:$A$303,MOD($AA10,1000)+1)&amp;"")</f>
        <v/>
      </c>
      <c r="AC10">
        <f>IF($AA10="","",INDEX(Stammdaten!$B$3:$B$303,MOD($AA10,1000)+1))</f>
        <v/>
      </c>
    </row>
    <row r="11">
      <c r="T11">
        <f>IF(INDEX(Stammdaten!$I$3:$I$303,11)="","",10)</f>
        <v/>
      </c>
      <c r="U11">
        <f>IFERROR(INDEX(Stammdaten!$I$3:$I$303,SMALL($T$2:$T$301,10)+1),"")</f>
        <v/>
      </c>
      <c r="W11">
        <f>IF(INDEX(Stammdaten!$H$3:$H$303,11)="","",10)</f>
        <v/>
      </c>
      <c r="X11">
        <f>IFERROR(INDEX(Stammdaten!$H$3:$H$303,SMALL($W$2:$W$301,10)+1),"")</f>
        <v/>
      </c>
      <c r="Z11">
        <f>IF(INDEX(Stammdaten!$B$3:$B$303,11)="","",IFERROR(MATCH(INDEX(Stammdaten!$A$3:$A$303,11),Kategorien,0),999)*1000+10)</f>
        <v/>
      </c>
      <c r="AA11">
        <f>IFERROR(SMALL($Z$2:$Z$301,10),"")</f>
        <v/>
      </c>
      <c r="AB11">
        <f>IF($AA11="","",INDEX(Stammdaten!$A$3:$A$303,MOD($AA11,1000)+1)&amp;"")</f>
        <v/>
      </c>
      <c r="AC11">
        <f>IF($AA11="","",INDEX(Stammdaten!$B$3:$B$303,MOD($AA11,1000)+1))</f>
        <v/>
      </c>
    </row>
    <row r="12">
      <c r="T12">
        <f>IF(INDEX(Stammdaten!$I$3:$I$303,12)="","",11)</f>
        <v/>
      </c>
      <c r="U12">
        <f>IFERROR(INDEX(Stammdaten!$I$3:$I$303,SMALL($T$2:$T$301,11)+1),"")</f>
        <v/>
      </c>
      <c r="W12">
        <f>IF(INDEX(Stammdaten!$H$3:$H$303,12)="","",11)</f>
        <v/>
      </c>
      <c r="X12">
        <f>IFERROR(INDEX(Stammdaten!$H$3:$H$303,SMALL($W$2:$W$301,11)+1),"")</f>
        <v/>
      </c>
      <c r="Z12">
        <f>IF(INDEX(Stammdaten!$B$3:$B$303,12)="","",IFERROR(MATCH(INDEX(Stammdaten!$A$3:$A$303,12),Kategorien,0),999)*1000+11)</f>
        <v/>
      </c>
      <c r="AA12">
        <f>IFERROR(SMALL($Z$2:$Z$301,11),"")</f>
        <v/>
      </c>
      <c r="AB12">
        <f>IF($AA12="","",INDEX(Stammdaten!$A$3:$A$303,MOD($AA12,1000)+1)&amp;"")</f>
        <v/>
      </c>
      <c r="AC12">
        <f>IF($AA12="","",INDEX(Stammdaten!$B$3:$B$303,MOD($AA12,1000)+1))</f>
        <v/>
      </c>
    </row>
    <row r="13">
      <c r="T13">
        <f>IF(INDEX(Stammdaten!$I$3:$I$303,13)="","",12)</f>
        <v/>
      </c>
      <c r="U13">
        <f>IFERROR(INDEX(Stammdaten!$I$3:$I$303,SMALL($T$2:$T$301,12)+1),"")</f>
        <v/>
      </c>
      <c r="W13">
        <f>IF(INDEX(Stammdaten!$H$3:$H$303,13)="","",12)</f>
        <v/>
      </c>
      <c r="X13">
        <f>IFERROR(INDEX(Stammdaten!$H$3:$H$303,SMALL($W$2:$W$301,12)+1),"")</f>
        <v/>
      </c>
      <c r="Z13">
        <f>IF(INDEX(Stammdaten!$B$3:$B$303,13)="","",IFERROR(MATCH(INDEX(Stammdaten!$A$3:$A$303,13),Kategorien,0),999)*1000+12)</f>
        <v/>
      </c>
      <c r="AA13">
        <f>IFERROR(SMALL($Z$2:$Z$301,12),"")</f>
        <v/>
      </c>
      <c r="AB13">
        <f>IF($AA13="","",INDEX(Stammdaten!$A$3:$A$303,MOD($AA13,1000)+1)&amp;"")</f>
        <v/>
      </c>
      <c r="AC13">
        <f>IF($AA13="","",INDEX(Stammdaten!$B$3:$B$303,MOD($AA13,1000)+1))</f>
        <v/>
      </c>
    </row>
    <row r="14">
      <c r="T14">
        <f>IF(INDEX(Stammdaten!$I$3:$I$303,14)="","",13)</f>
        <v/>
      </c>
      <c r="U14">
        <f>IFERROR(INDEX(Stammdaten!$I$3:$I$303,SMALL($T$2:$T$301,13)+1),"")</f>
        <v/>
      </c>
      <c r="W14">
        <f>IF(INDEX(Stammdaten!$H$3:$H$303,14)="","",13)</f>
        <v/>
      </c>
      <c r="X14">
        <f>IFERROR(INDEX(Stammdaten!$H$3:$H$303,SMALL($W$2:$W$301,13)+1),"")</f>
        <v/>
      </c>
      <c r="Z14">
        <f>IF(INDEX(Stammdaten!$B$3:$B$303,14)="","",IFERROR(MATCH(INDEX(Stammdaten!$A$3:$A$303,14),Kategorien,0),999)*1000+13)</f>
        <v/>
      </c>
      <c r="AA14">
        <f>IFERROR(SMALL($Z$2:$Z$301,13),"")</f>
        <v/>
      </c>
      <c r="AB14">
        <f>IF($AA14="","",INDEX(Stammdaten!$A$3:$A$303,MOD($AA14,1000)+1)&amp;"")</f>
        <v/>
      </c>
      <c r="AC14">
        <f>IF($AA14="","",INDEX(Stammdaten!$B$3:$B$303,MOD($AA14,1000)+1))</f>
        <v/>
      </c>
    </row>
    <row r="15">
      <c r="T15">
        <f>IF(INDEX(Stammdaten!$I$3:$I$303,15)="","",14)</f>
        <v/>
      </c>
      <c r="U15">
        <f>IFERROR(INDEX(Stammdaten!$I$3:$I$303,SMALL($T$2:$T$301,14)+1),"")</f>
        <v/>
      </c>
      <c r="W15">
        <f>IF(INDEX(Stammdaten!$H$3:$H$303,15)="","",14)</f>
        <v/>
      </c>
      <c r="X15">
        <f>IFERROR(INDEX(Stammdaten!$H$3:$H$303,SMALL($W$2:$W$301,14)+1),"")</f>
        <v/>
      </c>
      <c r="Z15">
        <f>IF(INDEX(Stammdaten!$B$3:$B$303,15)="","",IFERROR(MATCH(INDEX(Stammdaten!$A$3:$A$303,15),Kategorien,0),999)*1000+14)</f>
        <v/>
      </c>
      <c r="AA15">
        <f>IFERROR(SMALL($Z$2:$Z$301,14),"")</f>
        <v/>
      </c>
      <c r="AB15">
        <f>IF($AA15="","",INDEX(Stammdaten!$A$3:$A$303,MOD($AA15,1000)+1)&amp;"")</f>
        <v/>
      </c>
      <c r="AC15">
        <f>IF($AA15="","",INDEX(Stammdaten!$B$3:$B$303,MOD($AA15,1000)+1))</f>
        <v/>
      </c>
    </row>
    <row r="16">
      <c r="T16">
        <f>IF(INDEX(Stammdaten!$I$3:$I$303,16)="","",15)</f>
        <v/>
      </c>
      <c r="U16">
        <f>IFERROR(INDEX(Stammdaten!$I$3:$I$303,SMALL($T$2:$T$301,15)+1),"")</f>
        <v/>
      </c>
      <c r="W16">
        <f>IF(INDEX(Stammdaten!$H$3:$H$303,16)="","",15)</f>
        <v/>
      </c>
      <c r="X16">
        <f>IFERROR(INDEX(Stammdaten!$H$3:$H$303,SMALL($W$2:$W$301,15)+1),"")</f>
        <v/>
      </c>
      <c r="Z16">
        <f>IF(INDEX(Stammdaten!$B$3:$B$303,16)="","",IFERROR(MATCH(INDEX(Stammdaten!$A$3:$A$303,16),Kategorien,0),999)*1000+15)</f>
        <v/>
      </c>
      <c r="AA16">
        <f>IFERROR(SMALL($Z$2:$Z$301,15),"")</f>
        <v/>
      </c>
      <c r="AB16">
        <f>IF($AA16="","",INDEX(Stammdaten!$A$3:$A$303,MOD($AA16,1000)+1)&amp;"")</f>
        <v/>
      </c>
      <c r="AC16">
        <f>IF($AA16="","",INDEX(Stammdaten!$B$3:$B$303,MOD($AA16,1000)+1))</f>
        <v/>
      </c>
    </row>
    <row r="17">
      <c r="T17">
        <f>IF(INDEX(Stammdaten!$I$3:$I$303,17)="","",16)</f>
        <v/>
      </c>
      <c r="U17">
        <f>IFERROR(INDEX(Stammdaten!$I$3:$I$303,SMALL($T$2:$T$301,16)+1),"")</f>
        <v/>
      </c>
      <c r="W17">
        <f>IF(INDEX(Stammdaten!$H$3:$H$303,17)="","",16)</f>
        <v/>
      </c>
      <c r="X17">
        <f>IFERROR(INDEX(Stammdaten!$H$3:$H$303,SMALL($W$2:$W$301,16)+1),"")</f>
        <v/>
      </c>
      <c r="Z17">
        <f>IF(INDEX(Stammdaten!$B$3:$B$303,17)="","",IFERROR(MATCH(INDEX(Stammdaten!$A$3:$A$303,17),Kategorien,0),999)*1000+16)</f>
        <v/>
      </c>
      <c r="AA17">
        <f>IFERROR(SMALL($Z$2:$Z$301,16),"")</f>
        <v/>
      </c>
      <c r="AB17">
        <f>IF($AA17="","",INDEX(Stammdaten!$A$3:$A$303,MOD($AA17,1000)+1)&amp;"")</f>
        <v/>
      </c>
      <c r="AC17">
        <f>IF($AA17="","",INDEX(Stammdaten!$B$3:$B$303,MOD($AA17,1000)+1))</f>
        <v/>
      </c>
    </row>
    <row r="18">
      <c r="T18">
        <f>IF(INDEX(Stammdaten!$I$3:$I$303,18)="","",17)</f>
        <v/>
      </c>
      <c r="U18">
        <f>IFERROR(INDEX(Stammdaten!$I$3:$I$303,SMALL($T$2:$T$301,17)+1),"")</f>
        <v/>
      </c>
      <c r="W18">
        <f>IF(INDEX(Stammdaten!$H$3:$H$303,18)="","",17)</f>
        <v/>
      </c>
      <c r="X18">
        <f>IFERROR(INDEX(Stammdaten!$H$3:$H$303,SMALL($W$2:$W$301,17)+1),"")</f>
        <v/>
      </c>
      <c r="Z18">
        <f>IF(INDEX(Stammdaten!$B$3:$B$303,18)="","",IFERROR(MATCH(INDEX(Stammdaten!$A$3:$A$303,18),Kategorien,0),999)*1000+17)</f>
        <v/>
      </c>
      <c r="AA18">
        <f>IFERROR(SMALL($Z$2:$Z$301,17),"")</f>
        <v/>
      </c>
      <c r="AB18">
        <f>IF($AA18="","",INDEX(Stammdaten!$A$3:$A$303,MOD($AA18,1000)+1)&amp;"")</f>
        <v/>
      </c>
      <c r="AC18">
        <f>IF($AA18="","",INDEX(Stammdaten!$B$3:$B$303,MOD($AA18,1000)+1))</f>
        <v/>
      </c>
    </row>
    <row r="19">
      <c r="T19">
        <f>IF(INDEX(Stammdaten!$I$3:$I$303,19)="","",18)</f>
        <v/>
      </c>
      <c r="U19">
        <f>IFERROR(INDEX(Stammdaten!$I$3:$I$303,SMALL($T$2:$T$301,18)+1),"")</f>
        <v/>
      </c>
      <c r="W19">
        <f>IF(INDEX(Stammdaten!$H$3:$H$303,19)="","",18)</f>
        <v/>
      </c>
      <c r="X19">
        <f>IFERROR(INDEX(Stammdaten!$H$3:$H$303,SMALL($W$2:$W$301,18)+1),"")</f>
        <v/>
      </c>
      <c r="Z19">
        <f>IF(INDEX(Stammdaten!$B$3:$B$303,19)="","",IFERROR(MATCH(INDEX(Stammdaten!$A$3:$A$303,19),Kategorien,0),999)*1000+18)</f>
        <v/>
      </c>
      <c r="AA19">
        <f>IFERROR(SMALL($Z$2:$Z$301,18),"")</f>
        <v/>
      </c>
      <c r="AB19">
        <f>IF($AA19="","",INDEX(Stammdaten!$A$3:$A$303,MOD($AA19,1000)+1)&amp;"")</f>
        <v/>
      </c>
      <c r="AC19">
        <f>IF($AA19="","",INDEX(Stammdaten!$B$3:$B$303,MOD($AA19,1000)+1))</f>
        <v/>
      </c>
    </row>
    <row r="20">
      <c r="T20">
        <f>IF(INDEX(Stammdaten!$I$3:$I$303,20)="","",19)</f>
        <v/>
      </c>
      <c r="U20">
        <f>IFERROR(INDEX(Stammdaten!$I$3:$I$303,SMALL($T$2:$T$301,19)+1),"")</f>
        <v/>
      </c>
      <c r="W20">
        <f>IF(INDEX(Stammdaten!$H$3:$H$303,20)="","",19)</f>
        <v/>
      </c>
      <c r="X20">
        <f>IFERROR(INDEX(Stammdaten!$H$3:$H$303,SMALL($W$2:$W$301,19)+1),"")</f>
        <v/>
      </c>
      <c r="Z20">
        <f>IF(INDEX(Stammdaten!$B$3:$B$303,20)="","",IFERROR(MATCH(INDEX(Stammdaten!$A$3:$A$303,20),Kategorien,0),999)*1000+19)</f>
        <v/>
      </c>
      <c r="AA20">
        <f>IFERROR(SMALL($Z$2:$Z$301,19),"")</f>
        <v/>
      </c>
      <c r="AB20">
        <f>IF($AA20="","",INDEX(Stammdaten!$A$3:$A$303,MOD($AA20,1000)+1)&amp;"")</f>
        <v/>
      </c>
      <c r="AC20">
        <f>IF($AA20="","",INDEX(Stammdaten!$B$3:$B$303,MOD($AA20,1000)+1))</f>
        <v/>
      </c>
    </row>
    <row r="21">
      <c r="T21">
        <f>IF(INDEX(Stammdaten!$I$3:$I$303,21)="","",20)</f>
        <v/>
      </c>
      <c r="U21">
        <f>IFERROR(INDEX(Stammdaten!$I$3:$I$303,SMALL($T$2:$T$301,20)+1),"")</f>
        <v/>
      </c>
      <c r="W21">
        <f>IF(INDEX(Stammdaten!$H$3:$H$303,21)="","",20)</f>
        <v/>
      </c>
      <c r="X21">
        <f>IFERROR(INDEX(Stammdaten!$H$3:$H$303,SMALL($W$2:$W$301,20)+1),"")</f>
        <v/>
      </c>
      <c r="Z21">
        <f>IF(INDEX(Stammdaten!$B$3:$B$303,21)="","",IFERROR(MATCH(INDEX(Stammdaten!$A$3:$A$303,21),Kategorien,0),999)*1000+20)</f>
        <v/>
      </c>
      <c r="AA21">
        <f>IFERROR(SMALL($Z$2:$Z$301,20),"")</f>
        <v/>
      </c>
      <c r="AB21">
        <f>IF($AA21="","",INDEX(Stammdaten!$A$3:$A$303,MOD($AA21,1000)+1)&amp;"")</f>
        <v/>
      </c>
      <c r="AC21">
        <f>IF($AA21="","",INDEX(Stammdaten!$B$3:$B$303,MOD($AA21,1000)+1))</f>
        <v/>
      </c>
    </row>
    <row r="22">
      <c r="T22">
        <f>IF(INDEX(Stammdaten!$I$3:$I$303,22)="","",21)</f>
        <v/>
      </c>
      <c r="U22">
        <f>IFERROR(INDEX(Stammdaten!$I$3:$I$303,SMALL($T$2:$T$301,21)+1),"")</f>
        <v/>
      </c>
      <c r="W22">
        <f>IF(INDEX(Stammdaten!$H$3:$H$303,22)="","",21)</f>
        <v/>
      </c>
      <c r="X22">
        <f>IFERROR(INDEX(Stammdaten!$H$3:$H$303,SMALL($W$2:$W$301,21)+1),"")</f>
        <v/>
      </c>
      <c r="Z22">
        <f>IF(INDEX(Stammdaten!$B$3:$B$303,22)="","",IFERROR(MATCH(INDEX(Stammdaten!$A$3:$A$303,22),Kategorien,0),999)*1000+21)</f>
        <v/>
      </c>
      <c r="AA22">
        <f>IFERROR(SMALL($Z$2:$Z$301,21),"")</f>
        <v/>
      </c>
      <c r="AB22">
        <f>IF($AA22="","",INDEX(Stammdaten!$A$3:$A$303,MOD($AA22,1000)+1)&amp;"")</f>
        <v/>
      </c>
      <c r="AC22">
        <f>IF($AA22="","",INDEX(Stammdaten!$B$3:$B$303,MOD($AA22,1000)+1))</f>
        <v/>
      </c>
    </row>
    <row r="23">
      <c r="T23">
        <f>IF(INDEX(Stammdaten!$I$3:$I$303,23)="","",22)</f>
        <v/>
      </c>
      <c r="U23">
        <f>IFERROR(INDEX(Stammdaten!$I$3:$I$303,SMALL($T$2:$T$301,22)+1),"")</f>
        <v/>
      </c>
      <c r="W23">
        <f>IF(INDEX(Stammdaten!$H$3:$H$303,23)="","",22)</f>
        <v/>
      </c>
      <c r="X23">
        <f>IFERROR(INDEX(Stammdaten!$H$3:$H$303,SMALL($W$2:$W$301,22)+1),"")</f>
        <v/>
      </c>
      <c r="Z23">
        <f>IF(INDEX(Stammdaten!$B$3:$B$303,23)="","",IFERROR(MATCH(INDEX(Stammdaten!$A$3:$A$303,23),Kategorien,0),999)*1000+22)</f>
        <v/>
      </c>
      <c r="AA23">
        <f>IFERROR(SMALL($Z$2:$Z$301,22),"")</f>
        <v/>
      </c>
      <c r="AB23">
        <f>IF($AA23="","",INDEX(Stammdaten!$A$3:$A$303,MOD($AA23,1000)+1)&amp;"")</f>
        <v/>
      </c>
      <c r="AC23">
        <f>IF($AA23="","",INDEX(Stammdaten!$B$3:$B$303,MOD($AA23,1000)+1))</f>
        <v/>
      </c>
    </row>
    <row r="24">
      <c r="T24">
        <f>IF(INDEX(Stammdaten!$I$3:$I$303,24)="","",23)</f>
        <v/>
      </c>
      <c r="U24">
        <f>IFERROR(INDEX(Stammdaten!$I$3:$I$303,SMALL($T$2:$T$301,23)+1),"")</f>
        <v/>
      </c>
      <c r="W24">
        <f>IF(INDEX(Stammdaten!$H$3:$H$303,24)="","",23)</f>
        <v/>
      </c>
      <c r="X24">
        <f>IFERROR(INDEX(Stammdaten!$H$3:$H$303,SMALL($W$2:$W$301,23)+1),"")</f>
        <v/>
      </c>
      <c r="Z24">
        <f>IF(INDEX(Stammdaten!$B$3:$B$303,24)="","",IFERROR(MATCH(INDEX(Stammdaten!$A$3:$A$303,24),Kategorien,0),999)*1000+23)</f>
        <v/>
      </c>
      <c r="AA24">
        <f>IFERROR(SMALL($Z$2:$Z$301,23),"")</f>
        <v/>
      </c>
      <c r="AB24">
        <f>IF($AA24="","",INDEX(Stammdaten!$A$3:$A$303,MOD($AA24,1000)+1)&amp;"")</f>
        <v/>
      </c>
      <c r="AC24">
        <f>IF($AA24="","",INDEX(Stammdaten!$B$3:$B$303,MOD($AA24,1000)+1))</f>
        <v/>
      </c>
    </row>
    <row r="25">
      <c r="T25">
        <f>IF(INDEX(Stammdaten!$I$3:$I$303,25)="","",24)</f>
        <v/>
      </c>
      <c r="U25">
        <f>IFERROR(INDEX(Stammdaten!$I$3:$I$303,SMALL($T$2:$T$301,24)+1),"")</f>
        <v/>
      </c>
      <c r="W25">
        <f>IF(INDEX(Stammdaten!$H$3:$H$303,25)="","",24)</f>
        <v/>
      </c>
      <c r="X25">
        <f>IFERROR(INDEX(Stammdaten!$H$3:$H$303,SMALL($W$2:$W$301,24)+1),"")</f>
        <v/>
      </c>
      <c r="Z25">
        <f>IF(INDEX(Stammdaten!$B$3:$B$303,25)="","",IFERROR(MATCH(INDEX(Stammdaten!$A$3:$A$303,25),Kategorien,0),999)*1000+24)</f>
        <v/>
      </c>
      <c r="AA25">
        <f>IFERROR(SMALL($Z$2:$Z$301,24),"")</f>
        <v/>
      </c>
      <c r="AB25">
        <f>IF($AA25="","",INDEX(Stammdaten!$A$3:$A$303,MOD($AA25,1000)+1)&amp;"")</f>
        <v/>
      </c>
      <c r="AC25">
        <f>IF($AA25="","",INDEX(Stammdaten!$B$3:$B$303,MOD($AA25,1000)+1))</f>
        <v/>
      </c>
    </row>
    <row r="26">
      <c r="T26">
        <f>IF(INDEX(Stammdaten!$I$3:$I$303,26)="","",25)</f>
        <v/>
      </c>
      <c r="U26">
        <f>IFERROR(INDEX(Stammdaten!$I$3:$I$303,SMALL($T$2:$T$301,25)+1),"")</f>
        <v/>
      </c>
      <c r="W26">
        <f>IF(INDEX(Stammdaten!$H$3:$H$303,26)="","",25)</f>
        <v/>
      </c>
      <c r="X26">
        <f>IFERROR(INDEX(Stammdaten!$H$3:$H$303,SMALL($W$2:$W$301,25)+1),"")</f>
        <v/>
      </c>
      <c r="Z26">
        <f>IF(INDEX(Stammdaten!$B$3:$B$303,26)="","",IFERROR(MATCH(INDEX(Stammdaten!$A$3:$A$303,26),Kategorien,0),999)*1000+25)</f>
        <v/>
      </c>
      <c r="AA26">
        <f>IFERROR(SMALL($Z$2:$Z$301,25),"")</f>
        <v/>
      </c>
      <c r="AB26">
        <f>IF($AA26="","",INDEX(Stammdaten!$A$3:$A$303,MOD($AA26,1000)+1)&amp;"")</f>
        <v/>
      </c>
      <c r="AC26">
        <f>IF($AA26="","",INDEX(Stammdaten!$B$3:$B$303,MOD($AA26,1000)+1))</f>
        <v/>
      </c>
    </row>
    <row r="27">
      <c r="T27">
        <f>IF(INDEX(Stammdaten!$I$3:$I$303,27)="","",26)</f>
        <v/>
      </c>
      <c r="U27">
        <f>IFERROR(INDEX(Stammdaten!$I$3:$I$303,SMALL($T$2:$T$301,26)+1),"")</f>
        <v/>
      </c>
      <c r="W27">
        <f>IF(INDEX(Stammdaten!$H$3:$H$303,27)="","",26)</f>
        <v/>
      </c>
      <c r="X27">
        <f>IFERROR(INDEX(Stammdaten!$H$3:$H$303,SMALL($W$2:$W$301,26)+1),"")</f>
        <v/>
      </c>
      <c r="Z27">
        <f>IF(INDEX(Stammdaten!$B$3:$B$303,27)="","",IFERROR(MATCH(INDEX(Stammdaten!$A$3:$A$303,27),Kategorien,0),999)*1000+26)</f>
        <v/>
      </c>
      <c r="AA27">
        <f>IFERROR(SMALL($Z$2:$Z$301,26),"")</f>
        <v/>
      </c>
      <c r="AB27">
        <f>IF($AA27="","",INDEX(Stammdaten!$A$3:$A$303,MOD($AA27,1000)+1)&amp;"")</f>
        <v/>
      </c>
      <c r="AC27">
        <f>IF($AA27="","",INDEX(Stammdaten!$B$3:$B$303,MOD($AA27,1000)+1))</f>
        <v/>
      </c>
    </row>
    <row r="28">
      <c r="T28">
        <f>IF(INDEX(Stammdaten!$I$3:$I$303,28)="","",27)</f>
        <v/>
      </c>
      <c r="U28">
        <f>IFERROR(INDEX(Stammdaten!$I$3:$I$303,SMALL($T$2:$T$301,27)+1),"")</f>
        <v/>
      </c>
      <c r="W28">
        <f>IF(INDEX(Stammdaten!$H$3:$H$303,28)="","",27)</f>
        <v/>
      </c>
      <c r="X28">
        <f>IFERROR(INDEX(Stammdaten!$H$3:$H$303,SMALL($W$2:$W$301,27)+1),"")</f>
        <v/>
      </c>
      <c r="Z28">
        <f>IF(INDEX(Stammdaten!$B$3:$B$303,28)="","",IFERROR(MATCH(INDEX(Stammdaten!$A$3:$A$303,28),Kategorien,0),999)*1000+27)</f>
        <v/>
      </c>
      <c r="AA28">
        <f>IFERROR(SMALL($Z$2:$Z$301,27),"")</f>
        <v/>
      </c>
      <c r="AB28">
        <f>IF($AA28="","",INDEX(Stammdaten!$A$3:$A$303,MOD($AA28,1000)+1)&amp;"")</f>
        <v/>
      </c>
      <c r="AC28">
        <f>IF($AA28="","",INDEX(Stammdaten!$B$3:$B$303,MOD($AA28,1000)+1))</f>
        <v/>
      </c>
    </row>
    <row r="29">
      <c r="T29">
        <f>IF(INDEX(Stammdaten!$I$3:$I$303,29)="","",28)</f>
        <v/>
      </c>
      <c r="U29">
        <f>IFERROR(INDEX(Stammdaten!$I$3:$I$303,SMALL($T$2:$T$301,28)+1),"")</f>
        <v/>
      </c>
      <c r="W29">
        <f>IF(INDEX(Stammdaten!$H$3:$H$303,29)="","",28)</f>
        <v/>
      </c>
      <c r="X29">
        <f>IFERROR(INDEX(Stammdaten!$H$3:$H$303,SMALL($W$2:$W$301,28)+1),"")</f>
        <v/>
      </c>
      <c r="Z29">
        <f>IF(INDEX(Stammdaten!$B$3:$B$303,29)="","",IFERROR(MATCH(INDEX(Stammdaten!$A$3:$A$303,29),Kategorien,0),999)*1000+28)</f>
        <v/>
      </c>
      <c r="AA29">
        <f>IFERROR(SMALL($Z$2:$Z$301,28),"")</f>
        <v/>
      </c>
      <c r="AB29">
        <f>IF($AA29="","",INDEX(Stammdaten!$A$3:$A$303,MOD($AA29,1000)+1)&amp;"")</f>
        <v/>
      </c>
      <c r="AC29">
        <f>IF($AA29="","",INDEX(Stammdaten!$B$3:$B$303,MOD($AA29,1000)+1))</f>
        <v/>
      </c>
    </row>
    <row r="30">
      <c r="T30">
        <f>IF(INDEX(Stammdaten!$I$3:$I$303,30)="","",29)</f>
        <v/>
      </c>
      <c r="U30">
        <f>IFERROR(INDEX(Stammdaten!$I$3:$I$303,SMALL($T$2:$T$301,29)+1),"")</f>
        <v/>
      </c>
      <c r="W30">
        <f>IF(INDEX(Stammdaten!$H$3:$H$303,30)="","",29)</f>
        <v/>
      </c>
      <c r="X30">
        <f>IFERROR(INDEX(Stammdaten!$H$3:$H$303,SMALL($W$2:$W$301,29)+1),"")</f>
        <v/>
      </c>
      <c r="Z30">
        <f>IF(INDEX(Stammdaten!$B$3:$B$303,30)="","",IFERROR(MATCH(INDEX(Stammdaten!$A$3:$A$303,30),Kategorien,0),999)*1000+29)</f>
        <v/>
      </c>
      <c r="AA30">
        <f>IFERROR(SMALL($Z$2:$Z$301,29),"")</f>
        <v/>
      </c>
      <c r="AB30">
        <f>IF($AA30="","",INDEX(Stammdaten!$A$3:$A$303,MOD($AA30,1000)+1)&amp;"")</f>
        <v/>
      </c>
      <c r="AC30">
        <f>IF($AA30="","",INDEX(Stammdaten!$B$3:$B$303,MOD($AA30,1000)+1))</f>
        <v/>
      </c>
    </row>
    <row r="31">
      <c r="T31">
        <f>IF(INDEX(Stammdaten!$I$3:$I$303,31)="","",30)</f>
        <v/>
      </c>
      <c r="U31">
        <f>IFERROR(INDEX(Stammdaten!$I$3:$I$303,SMALL($T$2:$T$301,30)+1),"")</f>
        <v/>
      </c>
      <c r="W31">
        <f>IF(INDEX(Stammdaten!$H$3:$H$303,31)="","",30)</f>
        <v/>
      </c>
      <c r="X31">
        <f>IFERROR(INDEX(Stammdaten!$H$3:$H$303,SMALL($W$2:$W$301,30)+1),"")</f>
        <v/>
      </c>
      <c r="Z31">
        <f>IF(INDEX(Stammdaten!$B$3:$B$303,31)="","",IFERROR(MATCH(INDEX(Stammdaten!$A$3:$A$303,31),Kategorien,0),999)*1000+30)</f>
        <v/>
      </c>
      <c r="AA31">
        <f>IFERROR(SMALL($Z$2:$Z$301,30),"")</f>
        <v/>
      </c>
      <c r="AB31">
        <f>IF($AA31="","",INDEX(Stammdaten!$A$3:$A$303,MOD($AA31,1000)+1)&amp;"")</f>
        <v/>
      </c>
      <c r="AC31">
        <f>IF($AA31="","",INDEX(Stammdaten!$B$3:$B$303,MOD($AA31,1000)+1))</f>
        <v/>
      </c>
    </row>
    <row r="32">
      <c r="T32">
        <f>IF(INDEX(Stammdaten!$I$3:$I$303,32)="","",31)</f>
        <v/>
      </c>
      <c r="U32">
        <f>IFERROR(INDEX(Stammdaten!$I$3:$I$303,SMALL($T$2:$T$301,31)+1),"")</f>
        <v/>
      </c>
      <c r="W32">
        <f>IF(INDEX(Stammdaten!$H$3:$H$303,32)="","",31)</f>
        <v/>
      </c>
      <c r="X32">
        <f>IFERROR(INDEX(Stammdaten!$H$3:$H$303,SMALL($W$2:$W$301,31)+1),"")</f>
        <v/>
      </c>
      <c r="Z32">
        <f>IF(INDEX(Stammdaten!$B$3:$B$303,32)="","",IFERROR(MATCH(INDEX(Stammdaten!$A$3:$A$303,32),Kategorien,0),999)*1000+31)</f>
        <v/>
      </c>
      <c r="AA32">
        <f>IFERROR(SMALL($Z$2:$Z$301,31),"")</f>
        <v/>
      </c>
      <c r="AB32">
        <f>IF($AA32="","",INDEX(Stammdaten!$A$3:$A$303,MOD($AA32,1000)+1)&amp;"")</f>
        <v/>
      </c>
      <c r="AC32">
        <f>IF($AA32="","",INDEX(Stammdaten!$B$3:$B$303,MOD($AA32,1000)+1))</f>
        <v/>
      </c>
    </row>
    <row r="33">
      <c r="T33">
        <f>IF(INDEX(Stammdaten!$I$3:$I$303,33)="","",32)</f>
        <v/>
      </c>
      <c r="U33">
        <f>IFERROR(INDEX(Stammdaten!$I$3:$I$303,SMALL($T$2:$T$301,32)+1),"")</f>
        <v/>
      </c>
      <c r="W33">
        <f>IF(INDEX(Stammdaten!$H$3:$H$303,33)="","",32)</f>
        <v/>
      </c>
      <c r="X33">
        <f>IFERROR(INDEX(Stammdaten!$H$3:$H$303,SMALL($W$2:$W$301,32)+1),"")</f>
        <v/>
      </c>
      <c r="Z33">
        <f>IF(INDEX(Stammdaten!$B$3:$B$303,33)="","",IFERROR(MATCH(INDEX(Stammdaten!$A$3:$A$303,33),Kategorien,0),999)*1000+32)</f>
        <v/>
      </c>
      <c r="AA33">
        <f>IFERROR(SMALL($Z$2:$Z$301,32),"")</f>
        <v/>
      </c>
      <c r="AB33">
        <f>IF($AA33="","",INDEX(Stammdaten!$A$3:$A$303,MOD($AA33,1000)+1)&amp;"")</f>
        <v/>
      </c>
      <c r="AC33">
        <f>IF($AA33="","",INDEX(Stammdaten!$B$3:$B$303,MOD($AA33,1000)+1))</f>
        <v/>
      </c>
    </row>
    <row r="34">
      <c r="T34">
        <f>IF(INDEX(Stammdaten!$I$3:$I$303,34)="","",33)</f>
        <v/>
      </c>
      <c r="U34">
        <f>IFERROR(INDEX(Stammdaten!$I$3:$I$303,SMALL($T$2:$T$301,33)+1),"")</f>
        <v/>
      </c>
      <c r="W34">
        <f>IF(INDEX(Stammdaten!$H$3:$H$303,34)="","",33)</f>
        <v/>
      </c>
      <c r="X34">
        <f>IFERROR(INDEX(Stammdaten!$H$3:$H$303,SMALL($W$2:$W$301,33)+1),"")</f>
        <v/>
      </c>
      <c r="Z34">
        <f>IF(INDEX(Stammdaten!$B$3:$B$303,34)="","",IFERROR(MATCH(INDEX(Stammdaten!$A$3:$A$303,34),Kategorien,0),999)*1000+33)</f>
        <v/>
      </c>
      <c r="AA34">
        <f>IFERROR(SMALL($Z$2:$Z$301,33),"")</f>
        <v/>
      </c>
      <c r="AB34">
        <f>IF($AA34="","",INDEX(Stammdaten!$A$3:$A$303,MOD($AA34,1000)+1)&amp;"")</f>
        <v/>
      </c>
      <c r="AC34">
        <f>IF($AA34="","",INDEX(Stammdaten!$B$3:$B$303,MOD($AA34,1000)+1))</f>
        <v/>
      </c>
    </row>
    <row r="35">
      <c r="T35">
        <f>IF(INDEX(Stammdaten!$I$3:$I$303,35)="","",34)</f>
        <v/>
      </c>
      <c r="U35">
        <f>IFERROR(INDEX(Stammdaten!$I$3:$I$303,SMALL($T$2:$T$301,34)+1),"")</f>
        <v/>
      </c>
      <c r="W35">
        <f>IF(INDEX(Stammdaten!$H$3:$H$303,35)="","",34)</f>
        <v/>
      </c>
      <c r="X35">
        <f>IFERROR(INDEX(Stammdaten!$H$3:$H$303,SMALL($W$2:$W$301,34)+1),"")</f>
        <v/>
      </c>
      <c r="Z35">
        <f>IF(INDEX(Stammdaten!$B$3:$B$303,35)="","",IFERROR(MATCH(INDEX(Stammdaten!$A$3:$A$303,35),Kategorien,0),999)*1000+34)</f>
        <v/>
      </c>
      <c r="AA35">
        <f>IFERROR(SMALL($Z$2:$Z$301,34),"")</f>
        <v/>
      </c>
      <c r="AB35">
        <f>IF($AA35="","",INDEX(Stammdaten!$A$3:$A$303,MOD($AA35,1000)+1)&amp;"")</f>
        <v/>
      </c>
      <c r="AC35">
        <f>IF($AA35="","",INDEX(Stammdaten!$B$3:$B$303,MOD($AA35,1000)+1))</f>
        <v/>
      </c>
    </row>
    <row r="36">
      <c r="T36">
        <f>IF(INDEX(Stammdaten!$I$3:$I$303,36)="","",35)</f>
        <v/>
      </c>
      <c r="U36">
        <f>IFERROR(INDEX(Stammdaten!$I$3:$I$303,SMALL($T$2:$T$301,35)+1),"")</f>
        <v/>
      </c>
      <c r="W36">
        <f>IF(INDEX(Stammdaten!$H$3:$H$303,36)="","",35)</f>
        <v/>
      </c>
      <c r="X36">
        <f>IFERROR(INDEX(Stammdaten!$H$3:$H$303,SMALL($W$2:$W$301,35)+1),"")</f>
        <v/>
      </c>
      <c r="Z36">
        <f>IF(INDEX(Stammdaten!$B$3:$B$303,36)="","",IFERROR(MATCH(INDEX(Stammdaten!$A$3:$A$303,36),Kategorien,0),999)*1000+35)</f>
        <v/>
      </c>
      <c r="AA36">
        <f>IFERROR(SMALL($Z$2:$Z$301,35),"")</f>
        <v/>
      </c>
      <c r="AB36">
        <f>IF($AA36="","",INDEX(Stammdaten!$A$3:$A$303,MOD($AA36,1000)+1)&amp;"")</f>
        <v/>
      </c>
      <c r="AC36">
        <f>IF($AA36="","",INDEX(Stammdaten!$B$3:$B$303,MOD($AA36,1000)+1))</f>
        <v/>
      </c>
    </row>
    <row r="37">
      <c r="T37">
        <f>IF(INDEX(Stammdaten!$I$3:$I$303,37)="","",36)</f>
        <v/>
      </c>
      <c r="U37">
        <f>IFERROR(INDEX(Stammdaten!$I$3:$I$303,SMALL($T$2:$T$301,36)+1),"")</f>
        <v/>
      </c>
      <c r="W37">
        <f>IF(INDEX(Stammdaten!$H$3:$H$303,37)="","",36)</f>
        <v/>
      </c>
      <c r="X37">
        <f>IFERROR(INDEX(Stammdaten!$H$3:$H$303,SMALL($W$2:$W$301,36)+1),"")</f>
        <v/>
      </c>
      <c r="Z37">
        <f>IF(INDEX(Stammdaten!$B$3:$B$303,37)="","",IFERROR(MATCH(INDEX(Stammdaten!$A$3:$A$303,37),Kategorien,0),999)*1000+36)</f>
        <v/>
      </c>
      <c r="AA37">
        <f>IFERROR(SMALL($Z$2:$Z$301,36),"")</f>
        <v/>
      </c>
      <c r="AB37">
        <f>IF($AA37="","",INDEX(Stammdaten!$A$3:$A$303,MOD($AA37,1000)+1)&amp;"")</f>
        <v/>
      </c>
      <c r="AC37">
        <f>IF($AA37="","",INDEX(Stammdaten!$B$3:$B$303,MOD($AA37,1000)+1))</f>
        <v/>
      </c>
    </row>
    <row r="38">
      <c r="T38">
        <f>IF(INDEX(Stammdaten!$I$3:$I$303,38)="","",37)</f>
        <v/>
      </c>
      <c r="U38">
        <f>IFERROR(INDEX(Stammdaten!$I$3:$I$303,SMALL($T$2:$T$301,37)+1),"")</f>
        <v/>
      </c>
      <c r="W38">
        <f>IF(INDEX(Stammdaten!$H$3:$H$303,38)="","",37)</f>
        <v/>
      </c>
      <c r="X38">
        <f>IFERROR(INDEX(Stammdaten!$H$3:$H$303,SMALL($W$2:$W$301,37)+1),"")</f>
        <v/>
      </c>
      <c r="Z38">
        <f>IF(INDEX(Stammdaten!$B$3:$B$303,38)="","",IFERROR(MATCH(INDEX(Stammdaten!$A$3:$A$303,38),Kategorien,0),999)*1000+37)</f>
        <v/>
      </c>
      <c r="AA38">
        <f>IFERROR(SMALL($Z$2:$Z$301,37),"")</f>
        <v/>
      </c>
      <c r="AB38">
        <f>IF($AA38="","",INDEX(Stammdaten!$A$3:$A$303,MOD($AA38,1000)+1)&amp;"")</f>
        <v/>
      </c>
      <c r="AC38">
        <f>IF($AA38="","",INDEX(Stammdaten!$B$3:$B$303,MOD($AA38,1000)+1))</f>
        <v/>
      </c>
    </row>
    <row r="39">
      <c r="T39">
        <f>IF(INDEX(Stammdaten!$I$3:$I$303,39)="","",38)</f>
        <v/>
      </c>
      <c r="U39">
        <f>IFERROR(INDEX(Stammdaten!$I$3:$I$303,SMALL($T$2:$T$301,38)+1),"")</f>
        <v/>
      </c>
      <c r="W39">
        <f>IF(INDEX(Stammdaten!$H$3:$H$303,39)="","",38)</f>
        <v/>
      </c>
      <c r="X39">
        <f>IFERROR(INDEX(Stammdaten!$H$3:$H$303,SMALL($W$2:$W$301,38)+1),"")</f>
        <v/>
      </c>
      <c r="Z39">
        <f>IF(INDEX(Stammdaten!$B$3:$B$303,39)="","",IFERROR(MATCH(INDEX(Stammdaten!$A$3:$A$303,39),Kategorien,0),999)*1000+38)</f>
        <v/>
      </c>
      <c r="AA39">
        <f>IFERROR(SMALL($Z$2:$Z$301,38),"")</f>
        <v/>
      </c>
      <c r="AB39">
        <f>IF($AA39="","",INDEX(Stammdaten!$A$3:$A$303,MOD($AA39,1000)+1)&amp;"")</f>
        <v/>
      </c>
      <c r="AC39">
        <f>IF($AA39="","",INDEX(Stammdaten!$B$3:$B$303,MOD($AA39,1000)+1))</f>
        <v/>
      </c>
    </row>
    <row r="40">
      <c r="T40">
        <f>IF(INDEX(Stammdaten!$I$3:$I$303,40)="","",39)</f>
        <v/>
      </c>
      <c r="U40">
        <f>IFERROR(INDEX(Stammdaten!$I$3:$I$303,SMALL($T$2:$T$301,39)+1),"")</f>
        <v/>
      </c>
      <c r="W40">
        <f>IF(INDEX(Stammdaten!$H$3:$H$303,40)="","",39)</f>
        <v/>
      </c>
      <c r="X40">
        <f>IFERROR(INDEX(Stammdaten!$H$3:$H$303,SMALL($W$2:$W$301,39)+1),"")</f>
        <v/>
      </c>
      <c r="Z40">
        <f>IF(INDEX(Stammdaten!$B$3:$B$303,40)="","",IFERROR(MATCH(INDEX(Stammdaten!$A$3:$A$303,40),Kategorien,0),999)*1000+39)</f>
        <v/>
      </c>
      <c r="AA40">
        <f>IFERROR(SMALL($Z$2:$Z$301,39),"")</f>
        <v/>
      </c>
      <c r="AB40">
        <f>IF($AA40="","",INDEX(Stammdaten!$A$3:$A$303,MOD($AA40,1000)+1)&amp;"")</f>
        <v/>
      </c>
      <c r="AC40">
        <f>IF($AA40="","",INDEX(Stammdaten!$B$3:$B$303,MOD($AA40,1000)+1))</f>
        <v/>
      </c>
    </row>
    <row r="41">
      <c r="T41">
        <f>IF(INDEX(Stammdaten!$I$3:$I$303,41)="","",40)</f>
        <v/>
      </c>
      <c r="U41">
        <f>IFERROR(INDEX(Stammdaten!$I$3:$I$303,SMALL($T$2:$T$301,40)+1),"")</f>
        <v/>
      </c>
      <c r="W41">
        <f>IF(INDEX(Stammdaten!$H$3:$H$303,41)="","",40)</f>
        <v/>
      </c>
      <c r="X41">
        <f>IFERROR(INDEX(Stammdaten!$H$3:$H$303,SMALL($W$2:$W$301,40)+1),"")</f>
        <v/>
      </c>
      <c r="Z41">
        <f>IF(INDEX(Stammdaten!$B$3:$B$303,41)="","",IFERROR(MATCH(INDEX(Stammdaten!$A$3:$A$303,41),Kategorien,0),999)*1000+40)</f>
        <v/>
      </c>
      <c r="AA41">
        <f>IFERROR(SMALL($Z$2:$Z$301,40),"")</f>
        <v/>
      </c>
      <c r="AB41">
        <f>IF($AA41="","",INDEX(Stammdaten!$A$3:$A$303,MOD($AA41,1000)+1)&amp;"")</f>
        <v/>
      </c>
      <c r="AC41">
        <f>IF($AA41="","",INDEX(Stammdaten!$B$3:$B$303,MOD($AA41,1000)+1))</f>
        <v/>
      </c>
    </row>
    <row r="42">
      <c r="T42">
        <f>IF(INDEX(Stammdaten!$I$3:$I$303,42)="","",41)</f>
        <v/>
      </c>
      <c r="U42">
        <f>IFERROR(INDEX(Stammdaten!$I$3:$I$303,SMALL($T$2:$T$301,41)+1),"")</f>
        <v/>
      </c>
      <c r="W42">
        <f>IF(INDEX(Stammdaten!$H$3:$H$303,42)="","",41)</f>
        <v/>
      </c>
      <c r="X42">
        <f>IFERROR(INDEX(Stammdaten!$H$3:$H$303,SMALL($W$2:$W$301,41)+1),"")</f>
        <v/>
      </c>
      <c r="Z42">
        <f>IF(INDEX(Stammdaten!$B$3:$B$303,42)="","",IFERROR(MATCH(INDEX(Stammdaten!$A$3:$A$303,42),Kategorien,0),999)*1000+41)</f>
        <v/>
      </c>
      <c r="AA42">
        <f>IFERROR(SMALL($Z$2:$Z$301,41),"")</f>
        <v/>
      </c>
      <c r="AB42">
        <f>IF($AA42="","",INDEX(Stammdaten!$A$3:$A$303,MOD($AA42,1000)+1)&amp;"")</f>
        <v/>
      </c>
      <c r="AC42">
        <f>IF($AA42="","",INDEX(Stammdaten!$B$3:$B$303,MOD($AA42,1000)+1))</f>
        <v/>
      </c>
    </row>
    <row r="43">
      <c r="T43">
        <f>IF(INDEX(Stammdaten!$I$3:$I$303,43)="","",42)</f>
        <v/>
      </c>
      <c r="U43">
        <f>IFERROR(INDEX(Stammdaten!$I$3:$I$303,SMALL($T$2:$T$301,42)+1),"")</f>
        <v/>
      </c>
      <c r="W43">
        <f>IF(INDEX(Stammdaten!$H$3:$H$303,43)="","",42)</f>
        <v/>
      </c>
      <c r="X43">
        <f>IFERROR(INDEX(Stammdaten!$H$3:$H$303,SMALL($W$2:$W$301,42)+1),"")</f>
        <v/>
      </c>
      <c r="Z43">
        <f>IF(INDEX(Stammdaten!$B$3:$B$303,43)="","",IFERROR(MATCH(INDEX(Stammdaten!$A$3:$A$303,43),Kategorien,0),999)*1000+42)</f>
        <v/>
      </c>
      <c r="AA43">
        <f>IFERROR(SMALL($Z$2:$Z$301,42),"")</f>
        <v/>
      </c>
      <c r="AB43">
        <f>IF($AA43="","",INDEX(Stammdaten!$A$3:$A$303,MOD($AA43,1000)+1)&amp;"")</f>
        <v/>
      </c>
      <c r="AC43">
        <f>IF($AA43="","",INDEX(Stammdaten!$B$3:$B$303,MOD($AA43,1000)+1))</f>
        <v/>
      </c>
    </row>
    <row r="44">
      <c r="T44">
        <f>IF(INDEX(Stammdaten!$I$3:$I$303,44)="","",43)</f>
        <v/>
      </c>
      <c r="U44">
        <f>IFERROR(INDEX(Stammdaten!$I$3:$I$303,SMALL($T$2:$T$301,43)+1),"")</f>
        <v/>
      </c>
      <c r="W44">
        <f>IF(INDEX(Stammdaten!$H$3:$H$303,44)="","",43)</f>
        <v/>
      </c>
      <c r="X44">
        <f>IFERROR(INDEX(Stammdaten!$H$3:$H$303,SMALL($W$2:$W$301,43)+1),"")</f>
        <v/>
      </c>
      <c r="Z44">
        <f>IF(INDEX(Stammdaten!$B$3:$B$303,44)="","",IFERROR(MATCH(INDEX(Stammdaten!$A$3:$A$303,44),Kategorien,0),999)*1000+43)</f>
        <v/>
      </c>
      <c r="AA44">
        <f>IFERROR(SMALL($Z$2:$Z$301,43),"")</f>
        <v/>
      </c>
      <c r="AB44">
        <f>IF($AA44="","",INDEX(Stammdaten!$A$3:$A$303,MOD($AA44,1000)+1)&amp;"")</f>
        <v/>
      </c>
      <c r="AC44">
        <f>IF($AA44="","",INDEX(Stammdaten!$B$3:$B$303,MOD($AA44,1000)+1))</f>
        <v/>
      </c>
    </row>
    <row r="45">
      <c r="T45">
        <f>IF(INDEX(Stammdaten!$I$3:$I$303,45)="","",44)</f>
        <v/>
      </c>
      <c r="U45">
        <f>IFERROR(INDEX(Stammdaten!$I$3:$I$303,SMALL($T$2:$T$301,44)+1),"")</f>
        <v/>
      </c>
      <c r="W45">
        <f>IF(INDEX(Stammdaten!$H$3:$H$303,45)="","",44)</f>
        <v/>
      </c>
      <c r="X45">
        <f>IFERROR(INDEX(Stammdaten!$H$3:$H$303,SMALL($W$2:$W$301,44)+1),"")</f>
        <v/>
      </c>
      <c r="Z45">
        <f>IF(INDEX(Stammdaten!$B$3:$B$303,45)="","",IFERROR(MATCH(INDEX(Stammdaten!$A$3:$A$303,45),Kategorien,0),999)*1000+44)</f>
        <v/>
      </c>
      <c r="AA45">
        <f>IFERROR(SMALL($Z$2:$Z$301,44),"")</f>
        <v/>
      </c>
      <c r="AB45">
        <f>IF($AA45="","",INDEX(Stammdaten!$A$3:$A$303,MOD($AA45,1000)+1)&amp;"")</f>
        <v/>
      </c>
      <c r="AC45">
        <f>IF($AA45="","",INDEX(Stammdaten!$B$3:$B$303,MOD($AA45,1000)+1))</f>
        <v/>
      </c>
    </row>
    <row r="46">
      <c r="T46">
        <f>IF(INDEX(Stammdaten!$I$3:$I$303,46)="","",45)</f>
        <v/>
      </c>
      <c r="U46">
        <f>IFERROR(INDEX(Stammdaten!$I$3:$I$303,SMALL($T$2:$T$301,45)+1),"")</f>
        <v/>
      </c>
      <c r="W46">
        <f>IF(INDEX(Stammdaten!$H$3:$H$303,46)="","",45)</f>
        <v/>
      </c>
      <c r="X46">
        <f>IFERROR(INDEX(Stammdaten!$H$3:$H$303,SMALL($W$2:$W$301,45)+1),"")</f>
        <v/>
      </c>
      <c r="Z46">
        <f>IF(INDEX(Stammdaten!$B$3:$B$303,46)="","",IFERROR(MATCH(INDEX(Stammdaten!$A$3:$A$303,46),Kategorien,0),999)*1000+45)</f>
        <v/>
      </c>
      <c r="AA46">
        <f>IFERROR(SMALL($Z$2:$Z$301,45),"")</f>
        <v/>
      </c>
      <c r="AB46">
        <f>IF($AA46="","",INDEX(Stammdaten!$A$3:$A$303,MOD($AA46,1000)+1)&amp;"")</f>
        <v/>
      </c>
      <c r="AC46">
        <f>IF($AA46="","",INDEX(Stammdaten!$B$3:$B$303,MOD($AA46,1000)+1))</f>
        <v/>
      </c>
    </row>
    <row r="47">
      <c r="T47">
        <f>IF(INDEX(Stammdaten!$I$3:$I$303,47)="","",46)</f>
        <v/>
      </c>
      <c r="U47">
        <f>IFERROR(INDEX(Stammdaten!$I$3:$I$303,SMALL($T$2:$T$301,46)+1),"")</f>
        <v/>
      </c>
      <c r="W47">
        <f>IF(INDEX(Stammdaten!$H$3:$H$303,47)="","",46)</f>
        <v/>
      </c>
      <c r="X47">
        <f>IFERROR(INDEX(Stammdaten!$H$3:$H$303,SMALL($W$2:$W$301,46)+1),"")</f>
        <v/>
      </c>
      <c r="Z47">
        <f>IF(INDEX(Stammdaten!$B$3:$B$303,47)="","",IFERROR(MATCH(INDEX(Stammdaten!$A$3:$A$303,47),Kategorien,0),999)*1000+46)</f>
        <v/>
      </c>
      <c r="AA47">
        <f>IFERROR(SMALL($Z$2:$Z$301,46),"")</f>
        <v/>
      </c>
      <c r="AB47">
        <f>IF($AA47="","",INDEX(Stammdaten!$A$3:$A$303,MOD($AA47,1000)+1)&amp;"")</f>
        <v/>
      </c>
      <c r="AC47">
        <f>IF($AA47="","",INDEX(Stammdaten!$B$3:$B$303,MOD($AA47,1000)+1))</f>
        <v/>
      </c>
    </row>
    <row r="48">
      <c r="T48">
        <f>IF(INDEX(Stammdaten!$I$3:$I$303,48)="","",47)</f>
        <v/>
      </c>
      <c r="U48">
        <f>IFERROR(INDEX(Stammdaten!$I$3:$I$303,SMALL($T$2:$T$301,47)+1),"")</f>
        <v/>
      </c>
      <c r="W48">
        <f>IF(INDEX(Stammdaten!$H$3:$H$303,48)="","",47)</f>
        <v/>
      </c>
      <c r="X48">
        <f>IFERROR(INDEX(Stammdaten!$H$3:$H$303,SMALL($W$2:$W$301,47)+1),"")</f>
        <v/>
      </c>
      <c r="Z48">
        <f>IF(INDEX(Stammdaten!$B$3:$B$303,48)="","",IFERROR(MATCH(INDEX(Stammdaten!$A$3:$A$303,48),Kategorien,0),999)*1000+47)</f>
        <v/>
      </c>
      <c r="AA48">
        <f>IFERROR(SMALL($Z$2:$Z$301,47),"")</f>
        <v/>
      </c>
      <c r="AB48">
        <f>IF($AA48="","",INDEX(Stammdaten!$A$3:$A$303,MOD($AA48,1000)+1)&amp;"")</f>
        <v/>
      </c>
      <c r="AC48">
        <f>IF($AA48="","",INDEX(Stammdaten!$B$3:$B$303,MOD($AA48,1000)+1))</f>
        <v/>
      </c>
    </row>
    <row r="49">
      <c r="T49">
        <f>IF(INDEX(Stammdaten!$I$3:$I$303,49)="","",48)</f>
        <v/>
      </c>
      <c r="U49">
        <f>IFERROR(INDEX(Stammdaten!$I$3:$I$303,SMALL($T$2:$T$301,48)+1),"")</f>
        <v/>
      </c>
      <c r="W49">
        <f>IF(INDEX(Stammdaten!$H$3:$H$303,49)="","",48)</f>
        <v/>
      </c>
      <c r="X49">
        <f>IFERROR(INDEX(Stammdaten!$H$3:$H$303,SMALL($W$2:$W$301,48)+1),"")</f>
        <v/>
      </c>
      <c r="Z49">
        <f>IF(INDEX(Stammdaten!$B$3:$B$303,49)="","",IFERROR(MATCH(INDEX(Stammdaten!$A$3:$A$303,49),Kategorien,0),999)*1000+48)</f>
        <v/>
      </c>
      <c r="AA49">
        <f>IFERROR(SMALL($Z$2:$Z$301,48),"")</f>
        <v/>
      </c>
      <c r="AB49">
        <f>IF($AA49="","",INDEX(Stammdaten!$A$3:$A$303,MOD($AA49,1000)+1)&amp;"")</f>
        <v/>
      </c>
      <c r="AC49">
        <f>IF($AA49="","",INDEX(Stammdaten!$B$3:$B$303,MOD($AA49,1000)+1))</f>
        <v/>
      </c>
    </row>
    <row r="50">
      <c r="T50">
        <f>IF(INDEX(Stammdaten!$I$3:$I$303,50)="","",49)</f>
        <v/>
      </c>
      <c r="U50">
        <f>IFERROR(INDEX(Stammdaten!$I$3:$I$303,SMALL($T$2:$T$301,49)+1),"")</f>
        <v/>
      </c>
      <c r="W50">
        <f>IF(INDEX(Stammdaten!$H$3:$H$303,50)="","",49)</f>
        <v/>
      </c>
      <c r="X50">
        <f>IFERROR(INDEX(Stammdaten!$H$3:$H$303,SMALL($W$2:$W$301,49)+1),"")</f>
        <v/>
      </c>
      <c r="Z50">
        <f>IF(INDEX(Stammdaten!$B$3:$B$303,50)="","",IFERROR(MATCH(INDEX(Stammdaten!$A$3:$A$303,50),Kategorien,0),999)*1000+49)</f>
        <v/>
      </c>
      <c r="AA50">
        <f>IFERROR(SMALL($Z$2:$Z$301,49),"")</f>
        <v/>
      </c>
      <c r="AB50">
        <f>IF($AA50="","",INDEX(Stammdaten!$A$3:$A$303,MOD($AA50,1000)+1)&amp;"")</f>
        <v/>
      </c>
      <c r="AC50">
        <f>IF($AA50="","",INDEX(Stammdaten!$B$3:$B$303,MOD($AA50,1000)+1))</f>
        <v/>
      </c>
    </row>
    <row r="51">
      <c r="T51">
        <f>IF(INDEX(Stammdaten!$I$3:$I$303,51)="","",50)</f>
        <v/>
      </c>
      <c r="U51">
        <f>IFERROR(INDEX(Stammdaten!$I$3:$I$303,SMALL($T$2:$T$301,50)+1),"")</f>
        <v/>
      </c>
      <c r="W51">
        <f>IF(INDEX(Stammdaten!$H$3:$H$303,51)="","",50)</f>
        <v/>
      </c>
      <c r="X51">
        <f>IFERROR(INDEX(Stammdaten!$H$3:$H$303,SMALL($W$2:$W$301,50)+1),"")</f>
        <v/>
      </c>
      <c r="Z51">
        <f>IF(INDEX(Stammdaten!$B$3:$B$303,51)="","",IFERROR(MATCH(INDEX(Stammdaten!$A$3:$A$303,51),Kategorien,0),999)*1000+50)</f>
        <v/>
      </c>
      <c r="AA51">
        <f>IFERROR(SMALL($Z$2:$Z$301,50),"")</f>
        <v/>
      </c>
      <c r="AB51">
        <f>IF($AA51="","",INDEX(Stammdaten!$A$3:$A$303,MOD($AA51,1000)+1)&amp;"")</f>
        <v/>
      </c>
      <c r="AC51">
        <f>IF($AA51="","",INDEX(Stammdaten!$B$3:$B$303,MOD($AA51,1000)+1))</f>
        <v/>
      </c>
    </row>
    <row r="52">
      <c r="T52">
        <f>IF(INDEX(Stammdaten!$I$3:$I$303,52)="","",51)</f>
        <v/>
      </c>
      <c r="U52">
        <f>IFERROR(INDEX(Stammdaten!$I$3:$I$303,SMALL($T$2:$T$301,51)+1),"")</f>
        <v/>
      </c>
      <c r="W52">
        <f>IF(INDEX(Stammdaten!$H$3:$H$303,52)="","",51)</f>
        <v/>
      </c>
      <c r="X52">
        <f>IFERROR(INDEX(Stammdaten!$H$3:$H$303,SMALL($W$2:$W$301,51)+1),"")</f>
        <v/>
      </c>
      <c r="Z52">
        <f>IF(INDEX(Stammdaten!$B$3:$B$303,52)="","",IFERROR(MATCH(INDEX(Stammdaten!$A$3:$A$303,52),Kategorien,0),999)*1000+51)</f>
        <v/>
      </c>
      <c r="AA52">
        <f>IFERROR(SMALL($Z$2:$Z$301,51),"")</f>
        <v/>
      </c>
      <c r="AB52">
        <f>IF($AA52="","",INDEX(Stammdaten!$A$3:$A$303,MOD($AA52,1000)+1)&amp;"")</f>
        <v/>
      </c>
      <c r="AC52">
        <f>IF($AA52="","",INDEX(Stammdaten!$B$3:$B$303,MOD($AA52,1000)+1))</f>
        <v/>
      </c>
    </row>
    <row r="53">
      <c r="T53">
        <f>IF(INDEX(Stammdaten!$I$3:$I$303,53)="","",52)</f>
        <v/>
      </c>
      <c r="U53">
        <f>IFERROR(INDEX(Stammdaten!$I$3:$I$303,SMALL($T$2:$T$301,52)+1),"")</f>
        <v/>
      </c>
      <c r="W53">
        <f>IF(INDEX(Stammdaten!$H$3:$H$303,53)="","",52)</f>
        <v/>
      </c>
      <c r="X53">
        <f>IFERROR(INDEX(Stammdaten!$H$3:$H$303,SMALL($W$2:$W$301,52)+1),"")</f>
        <v/>
      </c>
      <c r="Z53">
        <f>IF(INDEX(Stammdaten!$B$3:$B$303,53)="","",IFERROR(MATCH(INDEX(Stammdaten!$A$3:$A$303,53),Kategorien,0),999)*1000+52)</f>
        <v/>
      </c>
      <c r="AA53">
        <f>IFERROR(SMALL($Z$2:$Z$301,52),"")</f>
        <v/>
      </c>
      <c r="AB53">
        <f>IF($AA53="","",INDEX(Stammdaten!$A$3:$A$303,MOD($AA53,1000)+1)&amp;"")</f>
        <v/>
      </c>
      <c r="AC53">
        <f>IF($AA53="","",INDEX(Stammdaten!$B$3:$B$303,MOD($AA53,1000)+1))</f>
        <v/>
      </c>
    </row>
    <row r="54">
      <c r="T54">
        <f>IF(INDEX(Stammdaten!$I$3:$I$303,54)="","",53)</f>
        <v/>
      </c>
      <c r="U54">
        <f>IFERROR(INDEX(Stammdaten!$I$3:$I$303,SMALL($T$2:$T$301,53)+1),"")</f>
        <v/>
      </c>
      <c r="W54">
        <f>IF(INDEX(Stammdaten!$H$3:$H$303,54)="","",53)</f>
        <v/>
      </c>
      <c r="X54">
        <f>IFERROR(INDEX(Stammdaten!$H$3:$H$303,SMALL($W$2:$W$301,53)+1),"")</f>
        <v/>
      </c>
      <c r="Z54">
        <f>IF(INDEX(Stammdaten!$B$3:$B$303,54)="","",IFERROR(MATCH(INDEX(Stammdaten!$A$3:$A$303,54),Kategorien,0),999)*1000+53)</f>
        <v/>
      </c>
      <c r="AA54">
        <f>IFERROR(SMALL($Z$2:$Z$301,53),"")</f>
        <v/>
      </c>
      <c r="AB54">
        <f>IF($AA54="","",INDEX(Stammdaten!$A$3:$A$303,MOD($AA54,1000)+1)&amp;"")</f>
        <v/>
      </c>
      <c r="AC54">
        <f>IF($AA54="","",INDEX(Stammdaten!$B$3:$B$303,MOD($AA54,1000)+1))</f>
        <v/>
      </c>
    </row>
    <row r="55">
      <c r="T55">
        <f>IF(INDEX(Stammdaten!$I$3:$I$303,55)="","",54)</f>
        <v/>
      </c>
      <c r="U55">
        <f>IFERROR(INDEX(Stammdaten!$I$3:$I$303,SMALL($T$2:$T$301,54)+1),"")</f>
        <v/>
      </c>
      <c r="W55">
        <f>IF(INDEX(Stammdaten!$H$3:$H$303,55)="","",54)</f>
        <v/>
      </c>
      <c r="X55">
        <f>IFERROR(INDEX(Stammdaten!$H$3:$H$303,SMALL($W$2:$W$301,54)+1),"")</f>
        <v/>
      </c>
      <c r="Z55">
        <f>IF(INDEX(Stammdaten!$B$3:$B$303,55)="","",IFERROR(MATCH(INDEX(Stammdaten!$A$3:$A$303,55),Kategorien,0),999)*1000+54)</f>
        <v/>
      </c>
      <c r="AA55">
        <f>IFERROR(SMALL($Z$2:$Z$301,54),"")</f>
        <v/>
      </c>
      <c r="AB55">
        <f>IF($AA55="","",INDEX(Stammdaten!$A$3:$A$303,MOD($AA55,1000)+1)&amp;"")</f>
        <v/>
      </c>
      <c r="AC55">
        <f>IF($AA55="","",INDEX(Stammdaten!$B$3:$B$303,MOD($AA55,1000)+1))</f>
        <v/>
      </c>
    </row>
    <row r="56">
      <c r="T56">
        <f>IF(INDEX(Stammdaten!$I$3:$I$303,56)="","",55)</f>
        <v/>
      </c>
      <c r="U56">
        <f>IFERROR(INDEX(Stammdaten!$I$3:$I$303,SMALL($T$2:$T$301,55)+1),"")</f>
        <v/>
      </c>
      <c r="W56">
        <f>IF(INDEX(Stammdaten!$H$3:$H$303,56)="","",55)</f>
        <v/>
      </c>
      <c r="X56">
        <f>IFERROR(INDEX(Stammdaten!$H$3:$H$303,SMALL($W$2:$W$301,55)+1),"")</f>
        <v/>
      </c>
      <c r="Z56">
        <f>IF(INDEX(Stammdaten!$B$3:$B$303,56)="","",IFERROR(MATCH(INDEX(Stammdaten!$A$3:$A$303,56),Kategorien,0),999)*1000+55)</f>
        <v/>
      </c>
      <c r="AA56">
        <f>IFERROR(SMALL($Z$2:$Z$301,55),"")</f>
        <v/>
      </c>
      <c r="AB56">
        <f>IF($AA56="","",INDEX(Stammdaten!$A$3:$A$303,MOD($AA56,1000)+1)&amp;"")</f>
        <v/>
      </c>
      <c r="AC56">
        <f>IF($AA56="","",INDEX(Stammdaten!$B$3:$B$303,MOD($AA56,1000)+1))</f>
        <v/>
      </c>
    </row>
    <row r="57">
      <c r="T57">
        <f>IF(INDEX(Stammdaten!$I$3:$I$303,57)="","",56)</f>
        <v/>
      </c>
      <c r="U57">
        <f>IFERROR(INDEX(Stammdaten!$I$3:$I$303,SMALL($T$2:$T$301,56)+1),"")</f>
        <v/>
      </c>
      <c r="W57">
        <f>IF(INDEX(Stammdaten!$H$3:$H$303,57)="","",56)</f>
        <v/>
      </c>
      <c r="X57">
        <f>IFERROR(INDEX(Stammdaten!$H$3:$H$303,SMALL($W$2:$W$301,56)+1),"")</f>
        <v/>
      </c>
      <c r="Z57">
        <f>IF(INDEX(Stammdaten!$B$3:$B$303,57)="","",IFERROR(MATCH(INDEX(Stammdaten!$A$3:$A$303,57),Kategorien,0),999)*1000+56)</f>
        <v/>
      </c>
      <c r="AA57">
        <f>IFERROR(SMALL($Z$2:$Z$301,56),"")</f>
        <v/>
      </c>
      <c r="AB57">
        <f>IF($AA57="","",INDEX(Stammdaten!$A$3:$A$303,MOD($AA57,1000)+1)&amp;"")</f>
        <v/>
      </c>
      <c r="AC57">
        <f>IF($AA57="","",INDEX(Stammdaten!$B$3:$B$303,MOD($AA57,1000)+1))</f>
        <v/>
      </c>
    </row>
    <row r="58">
      <c r="T58">
        <f>IF(INDEX(Stammdaten!$I$3:$I$303,58)="","",57)</f>
        <v/>
      </c>
      <c r="U58">
        <f>IFERROR(INDEX(Stammdaten!$I$3:$I$303,SMALL($T$2:$T$301,57)+1),"")</f>
        <v/>
      </c>
      <c r="W58">
        <f>IF(INDEX(Stammdaten!$H$3:$H$303,58)="","",57)</f>
        <v/>
      </c>
      <c r="X58">
        <f>IFERROR(INDEX(Stammdaten!$H$3:$H$303,SMALL($W$2:$W$301,57)+1),"")</f>
        <v/>
      </c>
      <c r="Z58">
        <f>IF(INDEX(Stammdaten!$B$3:$B$303,58)="","",IFERROR(MATCH(INDEX(Stammdaten!$A$3:$A$303,58),Kategorien,0),999)*1000+57)</f>
        <v/>
      </c>
      <c r="AA58">
        <f>IFERROR(SMALL($Z$2:$Z$301,57),"")</f>
        <v/>
      </c>
      <c r="AB58">
        <f>IF($AA58="","",INDEX(Stammdaten!$A$3:$A$303,MOD($AA58,1000)+1)&amp;"")</f>
        <v/>
      </c>
      <c r="AC58">
        <f>IF($AA58="","",INDEX(Stammdaten!$B$3:$B$303,MOD($AA58,1000)+1))</f>
        <v/>
      </c>
    </row>
    <row r="59">
      <c r="T59">
        <f>IF(INDEX(Stammdaten!$I$3:$I$303,59)="","",58)</f>
        <v/>
      </c>
      <c r="U59">
        <f>IFERROR(INDEX(Stammdaten!$I$3:$I$303,SMALL($T$2:$T$301,58)+1),"")</f>
        <v/>
      </c>
      <c r="W59">
        <f>IF(INDEX(Stammdaten!$H$3:$H$303,59)="","",58)</f>
        <v/>
      </c>
      <c r="X59">
        <f>IFERROR(INDEX(Stammdaten!$H$3:$H$303,SMALL($W$2:$W$301,58)+1),"")</f>
        <v/>
      </c>
      <c r="Z59">
        <f>IF(INDEX(Stammdaten!$B$3:$B$303,59)="","",IFERROR(MATCH(INDEX(Stammdaten!$A$3:$A$303,59),Kategorien,0),999)*1000+58)</f>
        <v/>
      </c>
      <c r="AA59">
        <f>IFERROR(SMALL($Z$2:$Z$301,58),"")</f>
        <v/>
      </c>
      <c r="AB59">
        <f>IF($AA59="","",INDEX(Stammdaten!$A$3:$A$303,MOD($AA59,1000)+1)&amp;"")</f>
        <v/>
      </c>
      <c r="AC59">
        <f>IF($AA59="","",INDEX(Stammdaten!$B$3:$B$303,MOD($AA59,1000)+1))</f>
        <v/>
      </c>
    </row>
    <row r="60">
      <c r="T60">
        <f>IF(INDEX(Stammdaten!$I$3:$I$303,60)="","",59)</f>
        <v/>
      </c>
      <c r="U60">
        <f>IFERROR(INDEX(Stammdaten!$I$3:$I$303,SMALL($T$2:$T$301,59)+1),"")</f>
        <v/>
      </c>
      <c r="W60">
        <f>IF(INDEX(Stammdaten!$H$3:$H$303,60)="","",59)</f>
        <v/>
      </c>
      <c r="X60">
        <f>IFERROR(INDEX(Stammdaten!$H$3:$H$303,SMALL($W$2:$W$301,59)+1),"")</f>
        <v/>
      </c>
      <c r="Z60">
        <f>IF(INDEX(Stammdaten!$B$3:$B$303,60)="","",IFERROR(MATCH(INDEX(Stammdaten!$A$3:$A$303,60),Kategorien,0),999)*1000+59)</f>
        <v/>
      </c>
      <c r="AA60">
        <f>IFERROR(SMALL($Z$2:$Z$301,59),"")</f>
        <v/>
      </c>
      <c r="AB60">
        <f>IF($AA60="","",INDEX(Stammdaten!$A$3:$A$303,MOD($AA60,1000)+1)&amp;"")</f>
        <v/>
      </c>
      <c r="AC60">
        <f>IF($AA60="","",INDEX(Stammdaten!$B$3:$B$303,MOD($AA60,1000)+1))</f>
        <v/>
      </c>
    </row>
    <row r="61">
      <c r="T61">
        <f>IF(INDEX(Stammdaten!$I$3:$I$303,61)="","",60)</f>
        <v/>
      </c>
      <c r="U61">
        <f>IFERROR(INDEX(Stammdaten!$I$3:$I$303,SMALL($T$2:$T$301,60)+1),"")</f>
        <v/>
      </c>
      <c r="W61">
        <f>IF(INDEX(Stammdaten!$H$3:$H$303,61)="","",60)</f>
        <v/>
      </c>
      <c r="X61">
        <f>IFERROR(INDEX(Stammdaten!$H$3:$H$303,SMALL($W$2:$W$301,60)+1),"")</f>
        <v/>
      </c>
      <c r="Z61">
        <f>IF(INDEX(Stammdaten!$B$3:$B$303,61)="","",IFERROR(MATCH(INDEX(Stammdaten!$A$3:$A$303,61),Kategorien,0),999)*1000+60)</f>
        <v/>
      </c>
      <c r="AA61">
        <f>IFERROR(SMALL($Z$2:$Z$301,60),"")</f>
        <v/>
      </c>
      <c r="AB61">
        <f>IF($AA61="","",INDEX(Stammdaten!$A$3:$A$303,MOD($AA61,1000)+1)&amp;"")</f>
        <v/>
      </c>
      <c r="AC61">
        <f>IF($AA61="","",INDEX(Stammdaten!$B$3:$B$303,MOD($AA61,1000)+1))</f>
        <v/>
      </c>
    </row>
    <row r="62">
      <c r="T62">
        <f>IF(INDEX(Stammdaten!$I$3:$I$303,62)="","",61)</f>
        <v/>
      </c>
      <c r="U62">
        <f>IFERROR(INDEX(Stammdaten!$I$3:$I$303,SMALL($T$2:$T$301,61)+1),"")</f>
        <v/>
      </c>
      <c r="W62">
        <f>IF(INDEX(Stammdaten!$H$3:$H$303,62)="","",61)</f>
        <v/>
      </c>
      <c r="X62">
        <f>IFERROR(INDEX(Stammdaten!$H$3:$H$303,SMALL($W$2:$W$301,61)+1),"")</f>
        <v/>
      </c>
      <c r="Z62">
        <f>IF(INDEX(Stammdaten!$B$3:$B$303,62)="","",IFERROR(MATCH(INDEX(Stammdaten!$A$3:$A$303,62),Kategorien,0),999)*1000+61)</f>
        <v/>
      </c>
      <c r="AA62">
        <f>IFERROR(SMALL($Z$2:$Z$301,61),"")</f>
        <v/>
      </c>
      <c r="AB62">
        <f>IF($AA62="","",INDEX(Stammdaten!$A$3:$A$303,MOD($AA62,1000)+1)&amp;"")</f>
        <v/>
      </c>
      <c r="AC62">
        <f>IF($AA62="","",INDEX(Stammdaten!$B$3:$B$303,MOD($AA62,1000)+1))</f>
        <v/>
      </c>
    </row>
    <row r="63">
      <c r="T63">
        <f>IF(INDEX(Stammdaten!$I$3:$I$303,63)="","",62)</f>
        <v/>
      </c>
      <c r="U63">
        <f>IFERROR(INDEX(Stammdaten!$I$3:$I$303,SMALL($T$2:$T$301,62)+1),"")</f>
        <v/>
      </c>
      <c r="W63">
        <f>IF(INDEX(Stammdaten!$H$3:$H$303,63)="","",62)</f>
        <v/>
      </c>
      <c r="X63">
        <f>IFERROR(INDEX(Stammdaten!$H$3:$H$303,SMALL($W$2:$W$301,62)+1),"")</f>
        <v/>
      </c>
      <c r="Z63">
        <f>IF(INDEX(Stammdaten!$B$3:$B$303,63)="","",IFERROR(MATCH(INDEX(Stammdaten!$A$3:$A$303,63),Kategorien,0),999)*1000+62)</f>
        <v/>
      </c>
      <c r="AA63">
        <f>IFERROR(SMALL($Z$2:$Z$301,62),"")</f>
        <v/>
      </c>
      <c r="AB63">
        <f>IF($AA63="","",INDEX(Stammdaten!$A$3:$A$303,MOD($AA63,1000)+1)&amp;"")</f>
        <v/>
      </c>
      <c r="AC63">
        <f>IF($AA63="","",INDEX(Stammdaten!$B$3:$B$303,MOD($AA63,1000)+1))</f>
        <v/>
      </c>
    </row>
    <row r="64">
      <c r="T64">
        <f>IF(INDEX(Stammdaten!$I$3:$I$303,64)="","",63)</f>
        <v/>
      </c>
      <c r="U64">
        <f>IFERROR(INDEX(Stammdaten!$I$3:$I$303,SMALL($T$2:$T$301,63)+1),"")</f>
        <v/>
      </c>
      <c r="W64">
        <f>IF(INDEX(Stammdaten!$H$3:$H$303,64)="","",63)</f>
        <v/>
      </c>
      <c r="X64">
        <f>IFERROR(INDEX(Stammdaten!$H$3:$H$303,SMALL($W$2:$W$301,63)+1),"")</f>
        <v/>
      </c>
      <c r="Z64">
        <f>IF(INDEX(Stammdaten!$B$3:$B$303,64)="","",IFERROR(MATCH(INDEX(Stammdaten!$A$3:$A$303,64),Kategorien,0),999)*1000+63)</f>
        <v/>
      </c>
      <c r="AA64">
        <f>IFERROR(SMALL($Z$2:$Z$301,63),"")</f>
        <v/>
      </c>
      <c r="AB64">
        <f>IF($AA64="","",INDEX(Stammdaten!$A$3:$A$303,MOD($AA64,1000)+1)&amp;"")</f>
        <v/>
      </c>
      <c r="AC64">
        <f>IF($AA64="","",INDEX(Stammdaten!$B$3:$B$303,MOD($AA64,1000)+1))</f>
        <v/>
      </c>
    </row>
    <row r="65">
      <c r="T65">
        <f>IF(INDEX(Stammdaten!$I$3:$I$303,65)="","",64)</f>
        <v/>
      </c>
      <c r="U65">
        <f>IFERROR(INDEX(Stammdaten!$I$3:$I$303,SMALL($T$2:$T$301,64)+1),"")</f>
        <v/>
      </c>
      <c r="W65">
        <f>IF(INDEX(Stammdaten!$H$3:$H$303,65)="","",64)</f>
        <v/>
      </c>
      <c r="X65">
        <f>IFERROR(INDEX(Stammdaten!$H$3:$H$303,SMALL($W$2:$W$301,64)+1),"")</f>
        <v/>
      </c>
      <c r="Z65">
        <f>IF(INDEX(Stammdaten!$B$3:$B$303,65)="","",IFERROR(MATCH(INDEX(Stammdaten!$A$3:$A$303,65),Kategorien,0),999)*1000+64)</f>
        <v/>
      </c>
      <c r="AA65">
        <f>IFERROR(SMALL($Z$2:$Z$301,64),"")</f>
        <v/>
      </c>
      <c r="AB65">
        <f>IF($AA65="","",INDEX(Stammdaten!$A$3:$A$303,MOD($AA65,1000)+1)&amp;"")</f>
        <v/>
      </c>
      <c r="AC65">
        <f>IF($AA65="","",INDEX(Stammdaten!$B$3:$B$303,MOD($AA65,1000)+1))</f>
        <v/>
      </c>
    </row>
    <row r="66">
      <c r="T66">
        <f>IF(INDEX(Stammdaten!$I$3:$I$303,66)="","",65)</f>
        <v/>
      </c>
      <c r="U66">
        <f>IFERROR(INDEX(Stammdaten!$I$3:$I$303,SMALL($T$2:$T$301,65)+1),"")</f>
        <v/>
      </c>
      <c r="W66">
        <f>IF(INDEX(Stammdaten!$H$3:$H$303,66)="","",65)</f>
        <v/>
      </c>
      <c r="X66">
        <f>IFERROR(INDEX(Stammdaten!$H$3:$H$303,SMALL($W$2:$W$301,65)+1),"")</f>
        <v/>
      </c>
      <c r="Z66">
        <f>IF(INDEX(Stammdaten!$B$3:$B$303,66)="","",IFERROR(MATCH(INDEX(Stammdaten!$A$3:$A$303,66),Kategorien,0),999)*1000+65)</f>
        <v/>
      </c>
      <c r="AA66">
        <f>IFERROR(SMALL($Z$2:$Z$301,65),"")</f>
        <v/>
      </c>
      <c r="AB66">
        <f>IF($AA66="","",INDEX(Stammdaten!$A$3:$A$303,MOD($AA66,1000)+1)&amp;"")</f>
        <v/>
      </c>
      <c r="AC66">
        <f>IF($AA66="","",INDEX(Stammdaten!$B$3:$B$303,MOD($AA66,1000)+1))</f>
        <v/>
      </c>
    </row>
    <row r="67">
      <c r="T67">
        <f>IF(INDEX(Stammdaten!$I$3:$I$303,67)="","",66)</f>
        <v/>
      </c>
      <c r="U67">
        <f>IFERROR(INDEX(Stammdaten!$I$3:$I$303,SMALL($T$2:$T$301,66)+1),"")</f>
        <v/>
      </c>
      <c r="W67">
        <f>IF(INDEX(Stammdaten!$H$3:$H$303,67)="","",66)</f>
        <v/>
      </c>
      <c r="X67">
        <f>IFERROR(INDEX(Stammdaten!$H$3:$H$303,SMALL($W$2:$W$301,66)+1),"")</f>
        <v/>
      </c>
      <c r="Z67">
        <f>IF(INDEX(Stammdaten!$B$3:$B$303,67)="","",IFERROR(MATCH(INDEX(Stammdaten!$A$3:$A$303,67),Kategorien,0),999)*1000+66)</f>
        <v/>
      </c>
      <c r="AA67">
        <f>IFERROR(SMALL($Z$2:$Z$301,66),"")</f>
        <v/>
      </c>
      <c r="AB67">
        <f>IF($AA67="","",INDEX(Stammdaten!$A$3:$A$303,MOD($AA67,1000)+1)&amp;"")</f>
        <v/>
      </c>
      <c r="AC67">
        <f>IF($AA67="","",INDEX(Stammdaten!$B$3:$B$303,MOD($AA67,1000)+1))</f>
        <v/>
      </c>
    </row>
    <row r="68">
      <c r="T68">
        <f>IF(INDEX(Stammdaten!$I$3:$I$303,68)="","",67)</f>
        <v/>
      </c>
      <c r="U68">
        <f>IFERROR(INDEX(Stammdaten!$I$3:$I$303,SMALL($T$2:$T$301,67)+1),"")</f>
        <v/>
      </c>
      <c r="W68">
        <f>IF(INDEX(Stammdaten!$H$3:$H$303,68)="","",67)</f>
        <v/>
      </c>
      <c r="X68">
        <f>IFERROR(INDEX(Stammdaten!$H$3:$H$303,SMALL($W$2:$W$301,67)+1),"")</f>
        <v/>
      </c>
      <c r="Z68">
        <f>IF(INDEX(Stammdaten!$B$3:$B$303,68)="","",IFERROR(MATCH(INDEX(Stammdaten!$A$3:$A$303,68),Kategorien,0),999)*1000+67)</f>
        <v/>
      </c>
      <c r="AA68">
        <f>IFERROR(SMALL($Z$2:$Z$301,67),"")</f>
        <v/>
      </c>
      <c r="AB68">
        <f>IF($AA68="","",INDEX(Stammdaten!$A$3:$A$303,MOD($AA68,1000)+1)&amp;"")</f>
        <v/>
      </c>
      <c r="AC68">
        <f>IF($AA68="","",INDEX(Stammdaten!$B$3:$B$303,MOD($AA68,1000)+1))</f>
        <v/>
      </c>
    </row>
    <row r="69">
      <c r="T69">
        <f>IF(INDEX(Stammdaten!$I$3:$I$303,69)="","",68)</f>
        <v/>
      </c>
      <c r="U69">
        <f>IFERROR(INDEX(Stammdaten!$I$3:$I$303,SMALL($T$2:$T$301,68)+1),"")</f>
        <v/>
      </c>
      <c r="W69">
        <f>IF(INDEX(Stammdaten!$H$3:$H$303,69)="","",68)</f>
        <v/>
      </c>
      <c r="X69">
        <f>IFERROR(INDEX(Stammdaten!$H$3:$H$303,SMALL($W$2:$W$301,68)+1),"")</f>
        <v/>
      </c>
      <c r="Z69">
        <f>IF(INDEX(Stammdaten!$B$3:$B$303,69)="","",IFERROR(MATCH(INDEX(Stammdaten!$A$3:$A$303,69),Kategorien,0),999)*1000+68)</f>
        <v/>
      </c>
      <c r="AA69">
        <f>IFERROR(SMALL($Z$2:$Z$301,68),"")</f>
        <v/>
      </c>
      <c r="AB69">
        <f>IF($AA69="","",INDEX(Stammdaten!$A$3:$A$303,MOD($AA69,1000)+1)&amp;"")</f>
        <v/>
      </c>
      <c r="AC69">
        <f>IF($AA69="","",INDEX(Stammdaten!$B$3:$B$303,MOD($AA69,1000)+1))</f>
        <v/>
      </c>
    </row>
    <row r="70">
      <c r="T70">
        <f>IF(INDEX(Stammdaten!$I$3:$I$303,70)="","",69)</f>
        <v/>
      </c>
      <c r="U70">
        <f>IFERROR(INDEX(Stammdaten!$I$3:$I$303,SMALL($T$2:$T$301,69)+1),"")</f>
        <v/>
      </c>
      <c r="W70">
        <f>IF(INDEX(Stammdaten!$H$3:$H$303,70)="","",69)</f>
        <v/>
      </c>
      <c r="X70">
        <f>IFERROR(INDEX(Stammdaten!$H$3:$H$303,SMALL($W$2:$W$301,69)+1),"")</f>
        <v/>
      </c>
      <c r="Z70">
        <f>IF(INDEX(Stammdaten!$B$3:$B$303,70)="","",IFERROR(MATCH(INDEX(Stammdaten!$A$3:$A$303,70),Kategorien,0),999)*1000+69)</f>
        <v/>
      </c>
      <c r="AA70">
        <f>IFERROR(SMALL($Z$2:$Z$301,69),"")</f>
        <v/>
      </c>
      <c r="AB70">
        <f>IF($AA70="","",INDEX(Stammdaten!$A$3:$A$303,MOD($AA70,1000)+1)&amp;"")</f>
        <v/>
      </c>
      <c r="AC70">
        <f>IF($AA70="","",INDEX(Stammdaten!$B$3:$B$303,MOD($AA70,1000)+1))</f>
        <v/>
      </c>
    </row>
    <row r="71">
      <c r="T71">
        <f>IF(INDEX(Stammdaten!$I$3:$I$303,71)="","",70)</f>
        <v/>
      </c>
      <c r="U71">
        <f>IFERROR(INDEX(Stammdaten!$I$3:$I$303,SMALL($T$2:$T$301,70)+1),"")</f>
        <v/>
      </c>
      <c r="W71">
        <f>IF(INDEX(Stammdaten!$H$3:$H$303,71)="","",70)</f>
        <v/>
      </c>
      <c r="X71">
        <f>IFERROR(INDEX(Stammdaten!$H$3:$H$303,SMALL($W$2:$W$301,70)+1),"")</f>
        <v/>
      </c>
      <c r="Z71">
        <f>IF(INDEX(Stammdaten!$B$3:$B$303,71)="","",IFERROR(MATCH(INDEX(Stammdaten!$A$3:$A$303,71),Kategorien,0),999)*1000+70)</f>
        <v/>
      </c>
      <c r="AA71">
        <f>IFERROR(SMALL($Z$2:$Z$301,70),"")</f>
        <v/>
      </c>
      <c r="AB71">
        <f>IF($AA71="","",INDEX(Stammdaten!$A$3:$A$303,MOD($AA71,1000)+1)&amp;"")</f>
        <v/>
      </c>
      <c r="AC71">
        <f>IF($AA71="","",INDEX(Stammdaten!$B$3:$B$303,MOD($AA71,1000)+1))</f>
        <v/>
      </c>
    </row>
    <row r="72">
      <c r="T72">
        <f>IF(INDEX(Stammdaten!$I$3:$I$303,72)="","",71)</f>
        <v/>
      </c>
      <c r="U72">
        <f>IFERROR(INDEX(Stammdaten!$I$3:$I$303,SMALL($T$2:$T$301,71)+1),"")</f>
        <v/>
      </c>
      <c r="W72">
        <f>IF(INDEX(Stammdaten!$H$3:$H$303,72)="","",71)</f>
        <v/>
      </c>
      <c r="X72">
        <f>IFERROR(INDEX(Stammdaten!$H$3:$H$303,SMALL($W$2:$W$301,71)+1),"")</f>
        <v/>
      </c>
      <c r="Z72">
        <f>IF(INDEX(Stammdaten!$B$3:$B$303,72)="","",IFERROR(MATCH(INDEX(Stammdaten!$A$3:$A$303,72),Kategorien,0),999)*1000+71)</f>
        <v/>
      </c>
      <c r="AA72">
        <f>IFERROR(SMALL($Z$2:$Z$301,71),"")</f>
        <v/>
      </c>
      <c r="AB72">
        <f>IF($AA72="","",INDEX(Stammdaten!$A$3:$A$303,MOD($AA72,1000)+1)&amp;"")</f>
        <v/>
      </c>
      <c r="AC72">
        <f>IF($AA72="","",INDEX(Stammdaten!$B$3:$B$303,MOD($AA72,1000)+1))</f>
        <v/>
      </c>
    </row>
    <row r="73">
      <c r="T73">
        <f>IF(INDEX(Stammdaten!$I$3:$I$303,73)="","",72)</f>
        <v/>
      </c>
      <c r="U73">
        <f>IFERROR(INDEX(Stammdaten!$I$3:$I$303,SMALL($T$2:$T$301,72)+1),"")</f>
        <v/>
      </c>
      <c r="W73">
        <f>IF(INDEX(Stammdaten!$H$3:$H$303,73)="","",72)</f>
        <v/>
      </c>
      <c r="X73">
        <f>IFERROR(INDEX(Stammdaten!$H$3:$H$303,SMALL($W$2:$W$301,72)+1),"")</f>
        <v/>
      </c>
      <c r="Z73">
        <f>IF(INDEX(Stammdaten!$B$3:$B$303,73)="","",IFERROR(MATCH(INDEX(Stammdaten!$A$3:$A$303,73),Kategorien,0),999)*1000+72)</f>
        <v/>
      </c>
      <c r="AA73">
        <f>IFERROR(SMALL($Z$2:$Z$301,72),"")</f>
        <v/>
      </c>
      <c r="AB73">
        <f>IF($AA73="","",INDEX(Stammdaten!$A$3:$A$303,MOD($AA73,1000)+1)&amp;"")</f>
        <v/>
      </c>
      <c r="AC73">
        <f>IF($AA73="","",INDEX(Stammdaten!$B$3:$B$303,MOD($AA73,1000)+1))</f>
        <v/>
      </c>
    </row>
    <row r="74">
      <c r="T74">
        <f>IF(INDEX(Stammdaten!$I$3:$I$303,74)="","",73)</f>
        <v/>
      </c>
      <c r="U74">
        <f>IFERROR(INDEX(Stammdaten!$I$3:$I$303,SMALL($T$2:$T$301,73)+1),"")</f>
        <v/>
      </c>
      <c r="W74">
        <f>IF(INDEX(Stammdaten!$H$3:$H$303,74)="","",73)</f>
        <v/>
      </c>
      <c r="X74">
        <f>IFERROR(INDEX(Stammdaten!$H$3:$H$303,SMALL($W$2:$W$301,73)+1),"")</f>
        <v/>
      </c>
      <c r="Z74">
        <f>IF(INDEX(Stammdaten!$B$3:$B$303,74)="","",IFERROR(MATCH(INDEX(Stammdaten!$A$3:$A$303,74),Kategorien,0),999)*1000+73)</f>
        <v/>
      </c>
      <c r="AA74">
        <f>IFERROR(SMALL($Z$2:$Z$301,73),"")</f>
        <v/>
      </c>
      <c r="AB74">
        <f>IF($AA74="","",INDEX(Stammdaten!$A$3:$A$303,MOD($AA74,1000)+1)&amp;"")</f>
        <v/>
      </c>
      <c r="AC74">
        <f>IF($AA74="","",INDEX(Stammdaten!$B$3:$B$303,MOD($AA74,1000)+1))</f>
        <v/>
      </c>
    </row>
    <row r="75">
      <c r="T75">
        <f>IF(INDEX(Stammdaten!$I$3:$I$303,75)="","",74)</f>
        <v/>
      </c>
      <c r="U75">
        <f>IFERROR(INDEX(Stammdaten!$I$3:$I$303,SMALL($T$2:$T$301,74)+1),"")</f>
        <v/>
      </c>
      <c r="W75">
        <f>IF(INDEX(Stammdaten!$H$3:$H$303,75)="","",74)</f>
        <v/>
      </c>
      <c r="X75">
        <f>IFERROR(INDEX(Stammdaten!$H$3:$H$303,SMALL($W$2:$W$301,74)+1),"")</f>
        <v/>
      </c>
      <c r="Z75">
        <f>IF(INDEX(Stammdaten!$B$3:$B$303,75)="","",IFERROR(MATCH(INDEX(Stammdaten!$A$3:$A$303,75),Kategorien,0),999)*1000+74)</f>
        <v/>
      </c>
      <c r="AA75">
        <f>IFERROR(SMALL($Z$2:$Z$301,74),"")</f>
        <v/>
      </c>
      <c r="AB75">
        <f>IF($AA75="","",INDEX(Stammdaten!$A$3:$A$303,MOD($AA75,1000)+1)&amp;"")</f>
        <v/>
      </c>
      <c r="AC75">
        <f>IF($AA75="","",INDEX(Stammdaten!$B$3:$B$303,MOD($AA75,1000)+1))</f>
        <v/>
      </c>
    </row>
    <row r="76">
      <c r="T76">
        <f>IF(INDEX(Stammdaten!$I$3:$I$303,76)="","",75)</f>
        <v/>
      </c>
      <c r="U76">
        <f>IFERROR(INDEX(Stammdaten!$I$3:$I$303,SMALL($T$2:$T$301,75)+1),"")</f>
        <v/>
      </c>
      <c r="W76">
        <f>IF(INDEX(Stammdaten!$H$3:$H$303,76)="","",75)</f>
        <v/>
      </c>
      <c r="X76">
        <f>IFERROR(INDEX(Stammdaten!$H$3:$H$303,SMALL($W$2:$W$301,75)+1),"")</f>
        <v/>
      </c>
      <c r="Z76">
        <f>IF(INDEX(Stammdaten!$B$3:$B$303,76)="","",IFERROR(MATCH(INDEX(Stammdaten!$A$3:$A$303,76),Kategorien,0),999)*1000+75)</f>
        <v/>
      </c>
      <c r="AA76">
        <f>IFERROR(SMALL($Z$2:$Z$301,75),"")</f>
        <v/>
      </c>
      <c r="AB76">
        <f>IF($AA76="","",INDEX(Stammdaten!$A$3:$A$303,MOD($AA76,1000)+1)&amp;"")</f>
        <v/>
      </c>
      <c r="AC76">
        <f>IF($AA76="","",INDEX(Stammdaten!$B$3:$B$303,MOD($AA76,1000)+1))</f>
        <v/>
      </c>
    </row>
    <row r="77">
      <c r="T77">
        <f>IF(INDEX(Stammdaten!$I$3:$I$303,77)="","",76)</f>
        <v/>
      </c>
      <c r="U77">
        <f>IFERROR(INDEX(Stammdaten!$I$3:$I$303,SMALL($T$2:$T$301,76)+1),"")</f>
        <v/>
      </c>
      <c r="W77">
        <f>IF(INDEX(Stammdaten!$H$3:$H$303,77)="","",76)</f>
        <v/>
      </c>
      <c r="X77">
        <f>IFERROR(INDEX(Stammdaten!$H$3:$H$303,SMALL($W$2:$W$301,76)+1),"")</f>
        <v/>
      </c>
      <c r="Z77">
        <f>IF(INDEX(Stammdaten!$B$3:$B$303,77)="","",IFERROR(MATCH(INDEX(Stammdaten!$A$3:$A$303,77),Kategorien,0),999)*1000+76)</f>
        <v/>
      </c>
      <c r="AA77">
        <f>IFERROR(SMALL($Z$2:$Z$301,76),"")</f>
        <v/>
      </c>
      <c r="AB77">
        <f>IF($AA77="","",INDEX(Stammdaten!$A$3:$A$303,MOD($AA77,1000)+1)&amp;"")</f>
        <v/>
      </c>
      <c r="AC77">
        <f>IF($AA77="","",INDEX(Stammdaten!$B$3:$B$303,MOD($AA77,1000)+1))</f>
        <v/>
      </c>
    </row>
    <row r="78">
      <c r="T78">
        <f>IF(INDEX(Stammdaten!$I$3:$I$303,78)="","",77)</f>
        <v/>
      </c>
      <c r="U78">
        <f>IFERROR(INDEX(Stammdaten!$I$3:$I$303,SMALL($T$2:$T$301,77)+1),"")</f>
        <v/>
      </c>
      <c r="W78">
        <f>IF(INDEX(Stammdaten!$H$3:$H$303,78)="","",77)</f>
        <v/>
      </c>
      <c r="X78">
        <f>IFERROR(INDEX(Stammdaten!$H$3:$H$303,SMALL($W$2:$W$301,77)+1),"")</f>
        <v/>
      </c>
      <c r="Z78">
        <f>IF(INDEX(Stammdaten!$B$3:$B$303,78)="","",IFERROR(MATCH(INDEX(Stammdaten!$A$3:$A$303,78),Kategorien,0),999)*1000+77)</f>
        <v/>
      </c>
      <c r="AA78">
        <f>IFERROR(SMALL($Z$2:$Z$301,77),"")</f>
        <v/>
      </c>
      <c r="AB78">
        <f>IF($AA78="","",INDEX(Stammdaten!$A$3:$A$303,MOD($AA78,1000)+1)&amp;"")</f>
        <v/>
      </c>
      <c r="AC78">
        <f>IF($AA78="","",INDEX(Stammdaten!$B$3:$B$303,MOD($AA78,1000)+1))</f>
        <v/>
      </c>
    </row>
    <row r="79">
      <c r="T79">
        <f>IF(INDEX(Stammdaten!$I$3:$I$303,79)="","",78)</f>
        <v/>
      </c>
      <c r="U79">
        <f>IFERROR(INDEX(Stammdaten!$I$3:$I$303,SMALL($T$2:$T$301,78)+1),"")</f>
        <v/>
      </c>
      <c r="W79">
        <f>IF(INDEX(Stammdaten!$H$3:$H$303,79)="","",78)</f>
        <v/>
      </c>
      <c r="X79">
        <f>IFERROR(INDEX(Stammdaten!$H$3:$H$303,SMALL($W$2:$W$301,78)+1),"")</f>
        <v/>
      </c>
      <c r="Z79">
        <f>IF(INDEX(Stammdaten!$B$3:$B$303,79)="","",IFERROR(MATCH(INDEX(Stammdaten!$A$3:$A$303,79),Kategorien,0),999)*1000+78)</f>
        <v/>
      </c>
      <c r="AA79">
        <f>IFERROR(SMALL($Z$2:$Z$301,78),"")</f>
        <v/>
      </c>
      <c r="AB79">
        <f>IF($AA79="","",INDEX(Stammdaten!$A$3:$A$303,MOD($AA79,1000)+1)&amp;"")</f>
        <v/>
      </c>
      <c r="AC79">
        <f>IF($AA79="","",INDEX(Stammdaten!$B$3:$B$303,MOD($AA79,1000)+1))</f>
        <v/>
      </c>
    </row>
    <row r="80">
      <c r="T80">
        <f>IF(INDEX(Stammdaten!$I$3:$I$303,80)="","",79)</f>
        <v/>
      </c>
      <c r="U80">
        <f>IFERROR(INDEX(Stammdaten!$I$3:$I$303,SMALL($T$2:$T$301,79)+1),"")</f>
        <v/>
      </c>
      <c r="W80">
        <f>IF(INDEX(Stammdaten!$H$3:$H$303,80)="","",79)</f>
        <v/>
      </c>
      <c r="X80">
        <f>IFERROR(INDEX(Stammdaten!$H$3:$H$303,SMALL($W$2:$W$301,79)+1),"")</f>
        <v/>
      </c>
      <c r="Z80">
        <f>IF(INDEX(Stammdaten!$B$3:$B$303,80)="","",IFERROR(MATCH(INDEX(Stammdaten!$A$3:$A$303,80),Kategorien,0),999)*1000+79)</f>
        <v/>
      </c>
      <c r="AA80">
        <f>IFERROR(SMALL($Z$2:$Z$301,79),"")</f>
        <v/>
      </c>
      <c r="AB80">
        <f>IF($AA80="","",INDEX(Stammdaten!$A$3:$A$303,MOD($AA80,1000)+1)&amp;"")</f>
        <v/>
      </c>
      <c r="AC80">
        <f>IF($AA80="","",INDEX(Stammdaten!$B$3:$B$303,MOD($AA80,1000)+1))</f>
        <v/>
      </c>
    </row>
    <row r="81">
      <c r="T81">
        <f>IF(INDEX(Stammdaten!$I$3:$I$303,81)="","",80)</f>
        <v/>
      </c>
      <c r="U81">
        <f>IFERROR(INDEX(Stammdaten!$I$3:$I$303,SMALL($T$2:$T$301,80)+1),"")</f>
        <v/>
      </c>
      <c r="W81">
        <f>IF(INDEX(Stammdaten!$H$3:$H$303,81)="","",80)</f>
        <v/>
      </c>
      <c r="X81">
        <f>IFERROR(INDEX(Stammdaten!$H$3:$H$303,SMALL($W$2:$W$301,80)+1),"")</f>
        <v/>
      </c>
      <c r="Z81">
        <f>IF(INDEX(Stammdaten!$B$3:$B$303,81)="","",IFERROR(MATCH(INDEX(Stammdaten!$A$3:$A$303,81),Kategorien,0),999)*1000+80)</f>
        <v/>
      </c>
      <c r="AA81">
        <f>IFERROR(SMALL($Z$2:$Z$301,80),"")</f>
        <v/>
      </c>
      <c r="AB81">
        <f>IF($AA81="","",INDEX(Stammdaten!$A$3:$A$303,MOD($AA81,1000)+1)&amp;"")</f>
        <v/>
      </c>
      <c r="AC81">
        <f>IF($AA81="","",INDEX(Stammdaten!$B$3:$B$303,MOD($AA81,1000)+1))</f>
        <v/>
      </c>
    </row>
    <row r="82">
      <c r="T82">
        <f>IF(INDEX(Stammdaten!$I$3:$I$303,82)="","",81)</f>
        <v/>
      </c>
      <c r="U82">
        <f>IFERROR(INDEX(Stammdaten!$I$3:$I$303,SMALL($T$2:$T$301,81)+1),"")</f>
        <v/>
      </c>
      <c r="W82">
        <f>IF(INDEX(Stammdaten!$H$3:$H$303,82)="","",81)</f>
        <v/>
      </c>
      <c r="X82">
        <f>IFERROR(INDEX(Stammdaten!$H$3:$H$303,SMALL($W$2:$W$301,81)+1),"")</f>
        <v/>
      </c>
      <c r="Z82">
        <f>IF(INDEX(Stammdaten!$B$3:$B$303,82)="","",IFERROR(MATCH(INDEX(Stammdaten!$A$3:$A$303,82),Kategorien,0),999)*1000+81)</f>
        <v/>
      </c>
      <c r="AA82">
        <f>IFERROR(SMALL($Z$2:$Z$301,81),"")</f>
        <v/>
      </c>
      <c r="AB82">
        <f>IF($AA82="","",INDEX(Stammdaten!$A$3:$A$303,MOD($AA82,1000)+1)&amp;"")</f>
        <v/>
      </c>
      <c r="AC82">
        <f>IF($AA82="","",INDEX(Stammdaten!$B$3:$B$303,MOD($AA82,1000)+1))</f>
        <v/>
      </c>
    </row>
    <row r="83">
      <c r="T83">
        <f>IF(INDEX(Stammdaten!$I$3:$I$303,83)="","",82)</f>
        <v/>
      </c>
      <c r="U83">
        <f>IFERROR(INDEX(Stammdaten!$I$3:$I$303,SMALL($T$2:$T$301,82)+1),"")</f>
        <v/>
      </c>
      <c r="W83">
        <f>IF(INDEX(Stammdaten!$H$3:$H$303,83)="","",82)</f>
        <v/>
      </c>
      <c r="X83">
        <f>IFERROR(INDEX(Stammdaten!$H$3:$H$303,SMALL($W$2:$W$301,82)+1),"")</f>
        <v/>
      </c>
      <c r="Z83">
        <f>IF(INDEX(Stammdaten!$B$3:$B$303,83)="","",IFERROR(MATCH(INDEX(Stammdaten!$A$3:$A$303,83),Kategorien,0),999)*1000+82)</f>
        <v/>
      </c>
      <c r="AA83">
        <f>IFERROR(SMALL($Z$2:$Z$301,82),"")</f>
        <v/>
      </c>
      <c r="AB83">
        <f>IF($AA83="","",INDEX(Stammdaten!$A$3:$A$303,MOD($AA83,1000)+1)&amp;"")</f>
        <v/>
      </c>
      <c r="AC83">
        <f>IF($AA83="","",INDEX(Stammdaten!$B$3:$B$303,MOD($AA83,1000)+1))</f>
        <v/>
      </c>
    </row>
    <row r="84">
      <c r="T84">
        <f>IF(INDEX(Stammdaten!$I$3:$I$303,84)="","",83)</f>
        <v/>
      </c>
      <c r="U84">
        <f>IFERROR(INDEX(Stammdaten!$I$3:$I$303,SMALL($T$2:$T$301,83)+1),"")</f>
        <v/>
      </c>
      <c r="W84">
        <f>IF(INDEX(Stammdaten!$H$3:$H$303,84)="","",83)</f>
        <v/>
      </c>
      <c r="X84">
        <f>IFERROR(INDEX(Stammdaten!$H$3:$H$303,SMALL($W$2:$W$301,83)+1),"")</f>
        <v/>
      </c>
      <c r="Z84">
        <f>IF(INDEX(Stammdaten!$B$3:$B$303,84)="","",IFERROR(MATCH(INDEX(Stammdaten!$A$3:$A$303,84),Kategorien,0),999)*1000+83)</f>
        <v/>
      </c>
      <c r="AA84">
        <f>IFERROR(SMALL($Z$2:$Z$301,83),"")</f>
        <v/>
      </c>
      <c r="AB84">
        <f>IF($AA84="","",INDEX(Stammdaten!$A$3:$A$303,MOD($AA84,1000)+1)&amp;"")</f>
        <v/>
      </c>
      <c r="AC84">
        <f>IF($AA84="","",INDEX(Stammdaten!$B$3:$B$303,MOD($AA84,1000)+1))</f>
        <v/>
      </c>
    </row>
    <row r="85">
      <c r="T85">
        <f>IF(INDEX(Stammdaten!$I$3:$I$303,85)="","",84)</f>
        <v/>
      </c>
      <c r="U85">
        <f>IFERROR(INDEX(Stammdaten!$I$3:$I$303,SMALL($T$2:$T$301,84)+1),"")</f>
        <v/>
      </c>
      <c r="W85">
        <f>IF(INDEX(Stammdaten!$H$3:$H$303,85)="","",84)</f>
        <v/>
      </c>
      <c r="X85">
        <f>IFERROR(INDEX(Stammdaten!$H$3:$H$303,SMALL($W$2:$W$301,84)+1),"")</f>
        <v/>
      </c>
      <c r="Z85">
        <f>IF(INDEX(Stammdaten!$B$3:$B$303,85)="","",IFERROR(MATCH(INDEX(Stammdaten!$A$3:$A$303,85),Kategorien,0),999)*1000+84)</f>
        <v/>
      </c>
      <c r="AA85">
        <f>IFERROR(SMALL($Z$2:$Z$301,84),"")</f>
        <v/>
      </c>
      <c r="AB85">
        <f>IF($AA85="","",INDEX(Stammdaten!$A$3:$A$303,MOD($AA85,1000)+1)&amp;"")</f>
        <v/>
      </c>
      <c r="AC85">
        <f>IF($AA85="","",INDEX(Stammdaten!$B$3:$B$303,MOD($AA85,1000)+1))</f>
        <v/>
      </c>
    </row>
    <row r="86">
      <c r="T86">
        <f>IF(INDEX(Stammdaten!$I$3:$I$303,86)="","",85)</f>
        <v/>
      </c>
      <c r="U86">
        <f>IFERROR(INDEX(Stammdaten!$I$3:$I$303,SMALL($T$2:$T$301,85)+1),"")</f>
        <v/>
      </c>
      <c r="W86">
        <f>IF(INDEX(Stammdaten!$H$3:$H$303,86)="","",85)</f>
        <v/>
      </c>
      <c r="X86">
        <f>IFERROR(INDEX(Stammdaten!$H$3:$H$303,SMALL($W$2:$W$301,85)+1),"")</f>
        <v/>
      </c>
      <c r="Z86">
        <f>IF(INDEX(Stammdaten!$B$3:$B$303,86)="","",IFERROR(MATCH(INDEX(Stammdaten!$A$3:$A$303,86),Kategorien,0),999)*1000+85)</f>
        <v/>
      </c>
      <c r="AA86">
        <f>IFERROR(SMALL($Z$2:$Z$301,85),"")</f>
        <v/>
      </c>
      <c r="AB86">
        <f>IF($AA86="","",INDEX(Stammdaten!$A$3:$A$303,MOD($AA86,1000)+1)&amp;"")</f>
        <v/>
      </c>
      <c r="AC86">
        <f>IF($AA86="","",INDEX(Stammdaten!$B$3:$B$303,MOD($AA86,1000)+1))</f>
        <v/>
      </c>
    </row>
    <row r="87">
      <c r="T87">
        <f>IF(INDEX(Stammdaten!$I$3:$I$303,87)="","",86)</f>
        <v/>
      </c>
      <c r="U87">
        <f>IFERROR(INDEX(Stammdaten!$I$3:$I$303,SMALL($T$2:$T$301,86)+1),"")</f>
        <v/>
      </c>
      <c r="W87">
        <f>IF(INDEX(Stammdaten!$H$3:$H$303,87)="","",86)</f>
        <v/>
      </c>
      <c r="X87">
        <f>IFERROR(INDEX(Stammdaten!$H$3:$H$303,SMALL($W$2:$W$301,86)+1),"")</f>
        <v/>
      </c>
      <c r="Z87">
        <f>IF(INDEX(Stammdaten!$B$3:$B$303,87)="","",IFERROR(MATCH(INDEX(Stammdaten!$A$3:$A$303,87),Kategorien,0),999)*1000+86)</f>
        <v/>
      </c>
      <c r="AA87">
        <f>IFERROR(SMALL($Z$2:$Z$301,86),"")</f>
        <v/>
      </c>
      <c r="AB87">
        <f>IF($AA87="","",INDEX(Stammdaten!$A$3:$A$303,MOD($AA87,1000)+1)&amp;"")</f>
        <v/>
      </c>
      <c r="AC87">
        <f>IF($AA87="","",INDEX(Stammdaten!$B$3:$B$303,MOD($AA87,1000)+1))</f>
        <v/>
      </c>
    </row>
    <row r="88">
      <c r="T88">
        <f>IF(INDEX(Stammdaten!$I$3:$I$303,88)="","",87)</f>
        <v/>
      </c>
      <c r="U88">
        <f>IFERROR(INDEX(Stammdaten!$I$3:$I$303,SMALL($T$2:$T$301,87)+1),"")</f>
        <v/>
      </c>
      <c r="W88">
        <f>IF(INDEX(Stammdaten!$H$3:$H$303,88)="","",87)</f>
        <v/>
      </c>
      <c r="X88">
        <f>IFERROR(INDEX(Stammdaten!$H$3:$H$303,SMALL($W$2:$W$301,87)+1),"")</f>
        <v/>
      </c>
      <c r="Z88">
        <f>IF(INDEX(Stammdaten!$B$3:$B$303,88)="","",IFERROR(MATCH(INDEX(Stammdaten!$A$3:$A$303,88),Kategorien,0),999)*1000+87)</f>
        <v/>
      </c>
      <c r="AA88">
        <f>IFERROR(SMALL($Z$2:$Z$301,87),"")</f>
        <v/>
      </c>
      <c r="AB88">
        <f>IF($AA88="","",INDEX(Stammdaten!$A$3:$A$303,MOD($AA88,1000)+1)&amp;"")</f>
        <v/>
      </c>
      <c r="AC88">
        <f>IF($AA88="","",INDEX(Stammdaten!$B$3:$B$303,MOD($AA88,1000)+1))</f>
        <v/>
      </c>
    </row>
    <row r="89">
      <c r="T89">
        <f>IF(INDEX(Stammdaten!$I$3:$I$303,89)="","",88)</f>
        <v/>
      </c>
      <c r="U89">
        <f>IFERROR(INDEX(Stammdaten!$I$3:$I$303,SMALL($T$2:$T$301,88)+1),"")</f>
        <v/>
      </c>
      <c r="W89">
        <f>IF(INDEX(Stammdaten!$H$3:$H$303,89)="","",88)</f>
        <v/>
      </c>
      <c r="X89">
        <f>IFERROR(INDEX(Stammdaten!$H$3:$H$303,SMALL($W$2:$W$301,88)+1),"")</f>
        <v/>
      </c>
      <c r="Z89">
        <f>IF(INDEX(Stammdaten!$B$3:$B$303,89)="","",IFERROR(MATCH(INDEX(Stammdaten!$A$3:$A$303,89),Kategorien,0),999)*1000+88)</f>
        <v/>
      </c>
      <c r="AA89">
        <f>IFERROR(SMALL($Z$2:$Z$301,88),"")</f>
        <v/>
      </c>
      <c r="AB89">
        <f>IF($AA89="","",INDEX(Stammdaten!$A$3:$A$303,MOD($AA89,1000)+1)&amp;"")</f>
        <v/>
      </c>
      <c r="AC89">
        <f>IF($AA89="","",INDEX(Stammdaten!$B$3:$B$303,MOD($AA89,1000)+1))</f>
        <v/>
      </c>
    </row>
    <row r="90">
      <c r="T90">
        <f>IF(INDEX(Stammdaten!$I$3:$I$303,90)="","",89)</f>
        <v/>
      </c>
      <c r="U90">
        <f>IFERROR(INDEX(Stammdaten!$I$3:$I$303,SMALL($T$2:$T$301,89)+1),"")</f>
        <v/>
      </c>
      <c r="W90">
        <f>IF(INDEX(Stammdaten!$H$3:$H$303,90)="","",89)</f>
        <v/>
      </c>
      <c r="X90">
        <f>IFERROR(INDEX(Stammdaten!$H$3:$H$303,SMALL($W$2:$W$301,89)+1),"")</f>
        <v/>
      </c>
      <c r="Z90">
        <f>IF(INDEX(Stammdaten!$B$3:$B$303,90)="","",IFERROR(MATCH(INDEX(Stammdaten!$A$3:$A$303,90),Kategorien,0),999)*1000+89)</f>
        <v/>
      </c>
      <c r="AA90">
        <f>IFERROR(SMALL($Z$2:$Z$301,89),"")</f>
        <v/>
      </c>
      <c r="AB90">
        <f>IF($AA90="","",INDEX(Stammdaten!$A$3:$A$303,MOD($AA90,1000)+1)&amp;"")</f>
        <v/>
      </c>
      <c r="AC90">
        <f>IF($AA90="","",INDEX(Stammdaten!$B$3:$B$303,MOD($AA90,1000)+1))</f>
        <v/>
      </c>
    </row>
    <row r="91">
      <c r="T91">
        <f>IF(INDEX(Stammdaten!$I$3:$I$303,91)="","",90)</f>
        <v/>
      </c>
      <c r="U91">
        <f>IFERROR(INDEX(Stammdaten!$I$3:$I$303,SMALL($T$2:$T$301,90)+1),"")</f>
        <v/>
      </c>
      <c r="W91">
        <f>IF(INDEX(Stammdaten!$H$3:$H$303,91)="","",90)</f>
        <v/>
      </c>
      <c r="X91">
        <f>IFERROR(INDEX(Stammdaten!$H$3:$H$303,SMALL($W$2:$W$301,90)+1),"")</f>
        <v/>
      </c>
      <c r="Z91">
        <f>IF(INDEX(Stammdaten!$B$3:$B$303,91)="","",IFERROR(MATCH(INDEX(Stammdaten!$A$3:$A$303,91),Kategorien,0),999)*1000+90)</f>
        <v/>
      </c>
      <c r="AA91">
        <f>IFERROR(SMALL($Z$2:$Z$301,90),"")</f>
        <v/>
      </c>
      <c r="AB91">
        <f>IF($AA91="","",INDEX(Stammdaten!$A$3:$A$303,MOD($AA91,1000)+1)&amp;"")</f>
        <v/>
      </c>
      <c r="AC91">
        <f>IF($AA91="","",INDEX(Stammdaten!$B$3:$B$303,MOD($AA91,1000)+1))</f>
        <v/>
      </c>
    </row>
    <row r="92">
      <c r="T92">
        <f>IF(INDEX(Stammdaten!$I$3:$I$303,92)="","",91)</f>
        <v/>
      </c>
      <c r="U92">
        <f>IFERROR(INDEX(Stammdaten!$I$3:$I$303,SMALL($T$2:$T$301,91)+1),"")</f>
        <v/>
      </c>
      <c r="W92">
        <f>IF(INDEX(Stammdaten!$H$3:$H$303,92)="","",91)</f>
        <v/>
      </c>
      <c r="X92">
        <f>IFERROR(INDEX(Stammdaten!$H$3:$H$303,SMALL($W$2:$W$301,91)+1),"")</f>
        <v/>
      </c>
      <c r="Z92">
        <f>IF(INDEX(Stammdaten!$B$3:$B$303,92)="","",IFERROR(MATCH(INDEX(Stammdaten!$A$3:$A$303,92),Kategorien,0),999)*1000+91)</f>
        <v/>
      </c>
      <c r="AA92">
        <f>IFERROR(SMALL($Z$2:$Z$301,91),"")</f>
        <v/>
      </c>
      <c r="AB92">
        <f>IF($AA92="","",INDEX(Stammdaten!$A$3:$A$303,MOD($AA92,1000)+1)&amp;"")</f>
        <v/>
      </c>
      <c r="AC92">
        <f>IF($AA92="","",INDEX(Stammdaten!$B$3:$B$303,MOD($AA92,1000)+1))</f>
        <v/>
      </c>
    </row>
    <row r="93">
      <c r="T93">
        <f>IF(INDEX(Stammdaten!$I$3:$I$303,93)="","",92)</f>
        <v/>
      </c>
      <c r="U93">
        <f>IFERROR(INDEX(Stammdaten!$I$3:$I$303,SMALL($T$2:$T$301,92)+1),"")</f>
        <v/>
      </c>
      <c r="W93">
        <f>IF(INDEX(Stammdaten!$H$3:$H$303,93)="","",92)</f>
        <v/>
      </c>
      <c r="X93">
        <f>IFERROR(INDEX(Stammdaten!$H$3:$H$303,SMALL($W$2:$W$301,92)+1),"")</f>
        <v/>
      </c>
      <c r="Z93">
        <f>IF(INDEX(Stammdaten!$B$3:$B$303,93)="","",IFERROR(MATCH(INDEX(Stammdaten!$A$3:$A$303,93),Kategorien,0),999)*1000+92)</f>
        <v/>
      </c>
      <c r="AA93">
        <f>IFERROR(SMALL($Z$2:$Z$301,92),"")</f>
        <v/>
      </c>
      <c r="AB93">
        <f>IF($AA93="","",INDEX(Stammdaten!$A$3:$A$303,MOD($AA93,1000)+1)&amp;"")</f>
        <v/>
      </c>
      <c r="AC93">
        <f>IF($AA93="","",INDEX(Stammdaten!$B$3:$B$303,MOD($AA93,1000)+1))</f>
        <v/>
      </c>
    </row>
    <row r="94">
      <c r="T94">
        <f>IF(INDEX(Stammdaten!$I$3:$I$303,94)="","",93)</f>
        <v/>
      </c>
      <c r="U94">
        <f>IFERROR(INDEX(Stammdaten!$I$3:$I$303,SMALL($T$2:$T$301,93)+1),"")</f>
        <v/>
      </c>
      <c r="W94">
        <f>IF(INDEX(Stammdaten!$H$3:$H$303,94)="","",93)</f>
        <v/>
      </c>
      <c r="X94">
        <f>IFERROR(INDEX(Stammdaten!$H$3:$H$303,SMALL($W$2:$W$301,93)+1),"")</f>
        <v/>
      </c>
      <c r="Z94">
        <f>IF(INDEX(Stammdaten!$B$3:$B$303,94)="","",IFERROR(MATCH(INDEX(Stammdaten!$A$3:$A$303,94),Kategorien,0),999)*1000+93)</f>
        <v/>
      </c>
      <c r="AA94">
        <f>IFERROR(SMALL($Z$2:$Z$301,93),"")</f>
        <v/>
      </c>
      <c r="AB94">
        <f>IF($AA94="","",INDEX(Stammdaten!$A$3:$A$303,MOD($AA94,1000)+1)&amp;"")</f>
        <v/>
      </c>
      <c r="AC94">
        <f>IF($AA94="","",INDEX(Stammdaten!$B$3:$B$303,MOD($AA94,1000)+1))</f>
        <v/>
      </c>
    </row>
    <row r="95">
      <c r="T95">
        <f>IF(INDEX(Stammdaten!$I$3:$I$303,95)="","",94)</f>
        <v/>
      </c>
      <c r="U95">
        <f>IFERROR(INDEX(Stammdaten!$I$3:$I$303,SMALL($T$2:$T$301,94)+1),"")</f>
        <v/>
      </c>
      <c r="W95">
        <f>IF(INDEX(Stammdaten!$H$3:$H$303,95)="","",94)</f>
        <v/>
      </c>
      <c r="X95">
        <f>IFERROR(INDEX(Stammdaten!$H$3:$H$303,SMALL($W$2:$W$301,94)+1),"")</f>
        <v/>
      </c>
      <c r="Z95">
        <f>IF(INDEX(Stammdaten!$B$3:$B$303,95)="","",IFERROR(MATCH(INDEX(Stammdaten!$A$3:$A$303,95),Kategorien,0),999)*1000+94)</f>
        <v/>
      </c>
      <c r="AA95">
        <f>IFERROR(SMALL($Z$2:$Z$301,94),"")</f>
        <v/>
      </c>
      <c r="AB95">
        <f>IF($AA95="","",INDEX(Stammdaten!$A$3:$A$303,MOD($AA95,1000)+1)&amp;"")</f>
        <v/>
      </c>
      <c r="AC95">
        <f>IF($AA95="","",INDEX(Stammdaten!$B$3:$B$303,MOD($AA95,1000)+1))</f>
        <v/>
      </c>
    </row>
    <row r="96">
      <c r="T96">
        <f>IF(INDEX(Stammdaten!$I$3:$I$303,96)="","",95)</f>
        <v/>
      </c>
      <c r="U96">
        <f>IFERROR(INDEX(Stammdaten!$I$3:$I$303,SMALL($T$2:$T$301,95)+1),"")</f>
        <v/>
      </c>
      <c r="W96">
        <f>IF(INDEX(Stammdaten!$H$3:$H$303,96)="","",95)</f>
        <v/>
      </c>
      <c r="X96">
        <f>IFERROR(INDEX(Stammdaten!$H$3:$H$303,SMALL($W$2:$W$301,95)+1),"")</f>
        <v/>
      </c>
      <c r="Z96">
        <f>IF(INDEX(Stammdaten!$B$3:$B$303,96)="","",IFERROR(MATCH(INDEX(Stammdaten!$A$3:$A$303,96),Kategorien,0),999)*1000+95)</f>
        <v/>
      </c>
      <c r="AA96">
        <f>IFERROR(SMALL($Z$2:$Z$301,95),"")</f>
        <v/>
      </c>
      <c r="AB96">
        <f>IF($AA96="","",INDEX(Stammdaten!$A$3:$A$303,MOD($AA96,1000)+1)&amp;"")</f>
        <v/>
      </c>
      <c r="AC96">
        <f>IF($AA96="","",INDEX(Stammdaten!$B$3:$B$303,MOD($AA96,1000)+1))</f>
        <v/>
      </c>
    </row>
    <row r="97">
      <c r="T97">
        <f>IF(INDEX(Stammdaten!$I$3:$I$303,97)="","",96)</f>
        <v/>
      </c>
      <c r="U97">
        <f>IFERROR(INDEX(Stammdaten!$I$3:$I$303,SMALL($T$2:$T$301,96)+1),"")</f>
        <v/>
      </c>
      <c r="W97">
        <f>IF(INDEX(Stammdaten!$H$3:$H$303,97)="","",96)</f>
        <v/>
      </c>
      <c r="X97">
        <f>IFERROR(INDEX(Stammdaten!$H$3:$H$303,SMALL($W$2:$W$301,96)+1),"")</f>
        <v/>
      </c>
      <c r="Z97">
        <f>IF(INDEX(Stammdaten!$B$3:$B$303,97)="","",IFERROR(MATCH(INDEX(Stammdaten!$A$3:$A$303,97),Kategorien,0),999)*1000+96)</f>
        <v/>
      </c>
      <c r="AA97">
        <f>IFERROR(SMALL($Z$2:$Z$301,96),"")</f>
        <v/>
      </c>
      <c r="AB97">
        <f>IF($AA97="","",INDEX(Stammdaten!$A$3:$A$303,MOD($AA97,1000)+1)&amp;"")</f>
        <v/>
      </c>
      <c r="AC97">
        <f>IF($AA97="","",INDEX(Stammdaten!$B$3:$B$303,MOD($AA97,1000)+1))</f>
        <v/>
      </c>
    </row>
    <row r="98">
      <c r="T98">
        <f>IF(INDEX(Stammdaten!$I$3:$I$303,98)="","",97)</f>
        <v/>
      </c>
      <c r="U98">
        <f>IFERROR(INDEX(Stammdaten!$I$3:$I$303,SMALL($T$2:$T$301,97)+1),"")</f>
        <v/>
      </c>
      <c r="W98">
        <f>IF(INDEX(Stammdaten!$H$3:$H$303,98)="","",97)</f>
        <v/>
      </c>
      <c r="X98">
        <f>IFERROR(INDEX(Stammdaten!$H$3:$H$303,SMALL($W$2:$W$301,97)+1),"")</f>
        <v/>
      </c>
      <c r="Z98">
        <f>IF(INDEX(Stammdaten!$B$3:$B$303,98)="","",IFERROR(MATCH(INDEX(Stammdaten!$A$3:$A$303,98),Kategorien,0),999)*1000+97)</f>
        <v/>
      </c>
      <c r="AA98">
        <f>IFERROR(SMALL($Z$2:$Z$301,97),"")</f>
        <v/>
      </c>
      <c r="AB98">
        <f>IF($AA98="","",INDEX(Stammdaten!$A$3:$A$303,MOD($AA98,1000)+1)&amp;"")</f>
        <v/>
      </c>
      <c r="AC98">
        <f>IF($AA98="","",INDEX(Stammdaten!$B$3:$B$303,MOD($AA98,1000)+1))</f>
        <v/>
      </c>
    </row>
    <row r="99">
      <c r="T99">
        <f>IF(INDEX(Stammdaten!$I$3:$I$303,99)="","",98)</f>
        <v/>
      </c>
      <c r="U99">
        <f>IFERROR(INDEX(Stammdaten!$I$3:$I$303,SMALL($T$2:$T$301,98)+1),"")</f>
        <v/>
      </c>
      <c r="W99">
        <f>IF(INDEX(Stammdaten!$H$3:$H$303,99)="","",98)</f>
        <v/>
      </c>
      <c r="X99">
        <f>IFERROR(INDEX(Stammdaten!$H$3:$H$303,SMALL($W$2:$W$301,98)+1),"")</f>
        <v/>
      </c>
      <c r="Z99">
        <f>IF(INDEX(Stammdaten!$B$3:$B$303,99)="","",IFERROR(MATCH(INDEX(Stammdaten!$A$3:$A$303,99),Kategorien,0),999)*1000+98)</f>
        <v/>
      </c>
      <c r="AA99">
        <f>IFERROR(SMALL($Z$2:$Z$301,98),"")</f>
        <v/>
      </c>
      <c r="AB99">
        <f>IF($AA99="","",INDEX(Stammdaten!$A$3:$A$303,MOD($AA99,1000)+1)&amp;"")</f>
        <v/>
      </c>
      <c r="AC99">
        <f>IF($AA99="","",INDEX(Stammdaten!$B$3:$B$303,MOD($AA99,1000)+1))</f>
        <v/>
      </c>
    </row>
    <row r="100">
      <c r="T100">
        <f>IF(INDEX(Stammdaten!$I$3:$I$303,100)="","",99)</f>
        <v/>
      </c>
      <c r="U100">
        <f>IFERROR(INDEX(Stammdaten!$I$3:$I$303,SMALL($T$2:$T$301,99)+1),"")</f>
        <v/>
      </c>
      <c r="W100">
        <f>IF(INDEX(Stammdaten!$H$3:$H$303,100)="","",99)</f>
        <v/>
      </c>
      <c r="X100">
        <f>IFERROR(INDEX(Stammdaten!$H$3:$H$303,SMALL($W$2:$W$301,99)+1),"")</f>
        <v/>
      </c>
      <c r="Z100">
        <f>IF(INDEX(Stammdaten!$B$3:$B$303,100)="","",IFERROR(MATCH(INDEX(Stammdaten!$A$3:$A$303,100),Kategorien,0),999)*1000+99)</f>
        <v/>
      </c>
      <c r="AA100">
        <f>IFERROR(SMALL($Z$2:$Z$301,99),"")</f>
        <v/>
      </c>
      <c r="AB100">
        <f>IF($AA100="","",INDEX(Stammdaten!$A$3:$A$303,MOD($AA100,1000)+1)&amp;"")</f>
        <v/>
      </c>
      <c r="AC100">
        <f>IF($AA100="","",INDEX(Stammdaten!$B$3:$B$303,MOD($AA100,1000)+1))</f>
        <v/>
      </c>
    </row>
    <row r="101">
      <c r="T101">
        <f>IF(INDEX(Stammdaten!$I$3:$I$303,101)="","",100)</f>
        <v/>
      </c>
      <c r="U101">
        <f>IFERROR(INDEX(Stammdaten!$I$3:$I$303,SMALL($T$2:$T$301,100)+1),"")</f>
        <v/>
      </c>
      <c r="W101">
        <f>IF(INDEX(Stammdaten!$H$3:$H$303,101)="","",100)</f>
        <v/>
      </c>
      <c r="X101">
        <f>IFERROR(INDEX(Stammdaten!$H$3:$H$303,SMALL($W$2:$W$301,100)+1),"")</f>
        <v/>
      </c>
      <c r="Z101">
        <f>IF(INDEX(Stammdaten!$B$3:$B$303,101)="","",IFERROR(MATCH(INDEX(Stammdaten!$A$3:$A$303,101),Kategorien,0),999)*1000+100)</f>
        <v/>
      </c>
      <c r="AA101">
        <f>IFERROR(SMALL($Z$2:$Z$301,100),"")</f>
        <v/>
      </c>
      <c r="AB101">
        <f>IF($AA101="","",INDEX(Stammdaten!$A$3:$A$303,MOD($AA101,1000)+1)&amp;"")</f>
        <v/>
      </c>
      <c r="AC101">
        <f>IF($AA101="","",INDEX(Stammdaten!$B$3:$B$303,MOD($AA101,1000)+1))</f>
        <v/>
      </c>
    </row>
    <row r="102">
      <c r="T102">
        <f>IF(INDEX(Stammdaten!$I$3:$I$303,102)="","",101)</f>
        <v/>
      </c>
      <c r="U102">
        <f>IFERROR(INDEX(Stammdaten!$I$3:$I$303,SMALL($T$2:$T$301,101)+1),"")</f>
        <v/>
      </c>
      <c r="W102">
        <f>IF(INDEX(Stammdaten!$H$3:$H$303,102)="","",101)</f>
        <v/>
      </c>
      <c r="X102">
        <f>IFERROR(INDEX(Stammdaten!$H$3:$H$303,SMALL($W$2:$W$301,101)+1),"")</f>
        <v/>
      </c>
      <c r="Z102">
        <f>IF(INDEX(Stammdaten!$B$3:$B$303,102)="","",IFERROR(MATCH(INDEX(Stammdaten!$A$3:$A$303,102),Kategorien,0),999)*1000+101)</f>
        <v/>
      </c>
      <c r="AA102">
        <f>IFERROR(SMALL($Z$2:$Z$301,101),"")</f>
        <v/>
      </c>
      <c r="AB102">
        <f>IF($AA102="","",INDEX(Stammdaten!$A$3:$A$303,MOD($AA102,1000)+1)&amp;"")</f>
        <v/>
      </c>
      <c r="AC102">
        <f>IF($AA102="","",INDEX(Stammdaten!$B$3:$B$303,MOD($AA102,1000)+1))</f>
        <v/>
      </c>
    </row>
    <row r="103">
      <c r="T103">
        <f>IF(INDEX(Stammdaten!$I$3:$I$303,103)="","",102)</f>
        <v/>
      </c>
      <c r="U103">
        <f>IFERROR(INDEX(Stammdaten!$I$3:$I$303,SMALL($T$2:$T$301,102)+1),"")</f>
        <v/>
      </c>
      <c r="W103">
        <f>IF(INDEX(Stammdaten!$H$3:$H$303,103)="","",102)</f>
        <v/>
      </c>
      <c r="X103">
        <f>IFERROR(INDEX(Stammdaten!$H$3:$H$303,SMALL($W$2:$W$301,102)+1),"")</f>
        <v/>
      </c>
      <c r="Z103">
        <f>IF(INDEX(Stammdaten!$B$3:$B$303,103)="","",IFERROR(MATCH(INDEX(Stammdaten!$A$3:$A$303,103),Kategorien,0),999)*1000+102)</f>
        <v/>
      </c>
      <c r="AA103">
        <f>IFERROR(SMALL($Z$2:$Z$301,102),"")</f>
        <v/>
      </c>
      <c r="AB103">
        <f>IF($AA103="","",INDEX(Stammdaten!$A$3:$A$303,MOD($AA103,1000)+1)&amp;"")</f>
        <v/>
      </c>
      <c r="AC103">
        <f>IF($AA103="","",INDEX(Stammdaten!$B$3:$B$303,MOD($AA103,1000)+1))</f>
        <v/>
      </c>
    </row>
    <row r="104">
      <c r="T104">
        <f>IF(INDEX(Stammdaten!$I$3:$I$303,104)="","",103)</f>
        <v/>
      </c>
      <c r="U104">
        <f>IFERROR(INDEX(Stammdaten!$I$3:$I$303,SMALL($T$2:$T$301,103)+1),"")</f>
        <v/>
      </c>
      <c r="W104">
        <f>IF(INDEX(Stammdaten!$H$3:$H$303,104)="","",103)</f>
        <v/>
      </c>
      <c r="X104">
        <f>IFERROR(INDEX(Stammdaten!$H$3:$H$303,SMALL($W$2:$W$301,103)+1),"")</f>
        <v/>
      </c>
      <c r="Z104">
        <f>IF(INDEX(Stammdaten!$B$3:$B$303,104)="","",IFERROR(MATCH(INDEX(Stammdaten!$A$3:$A$303,104),Kategorien,0),999)*1000+103)</f>
        <v/>
      </c>
      <c r="AA104">
        <f>IFERROR(SMALL($Z$2:$Z$301,103),"")</f>
        <v/>
      </c>
      <c r="AB104">
        <f>IF($AA104="","",INDEX(Stammdaten!$A$3:$A$303,MOD($AA104,1000)+1)&amp;"")</f>
        <v/>
      </c>
      <c r="AC104">
        <f>IF($AA104="","",INDEX(Stammdaten!$B$3:$B$303,MOD($AA104,1000)+1))</f>
        <v/>
      </c>
    </row>
    <row r="105">
      <c r="T105">
        <f>IF(INDEX(Stammdaten!$I$3:$I$303,105)="","",104)</f>
        <v/>
      </c>
      <c r="U105">
        <f>IFERROR(INDEX(Stammdaten!$I$3:$I$303,SMALL($T$2:$T$301,104)+1),"")</f>
        <v/>
      </c>
      <c r="W105">
        <f>IF(INDEX(Stammdaten!$H$3:$H$303,105)="","",104)</f>
        <v/>
      </c>
      <c r="X105">
        <f>IFERROR(INDEX(Stammdaten!$H$3:$H$303,SMALL($W$2:$W$301,104)+1),"")</f>
        <v/>
      </c>
      <c r="Z105">
        <f>IF(INDEX(Stammdaten!$B$3:$B$303,105)="","",IFERROR(MATCH(INDEX(Stammdaten!$A$3:$A$303,105),Kategorien,0),999)*1000+104)</f>
        <v/>
      </c>
      <c r="AA105">
        <f>IFERROR(SMALL($Z$2:$Z$301,104),"")</f>
        <v/>
      </c>
      <c r="AB105">
        <f>IF($AA105="","",INDEX(Stammdaten!$A$3:$A$303,MOD($AA105,1000)+1)&amp;"")</f>
        <v/>
      </c>
      <c r="AC105">
        <f>IF($AA105="","",INDEX(Stammdaten!$B$3:$B$303,MOD($AA105,1000)+1))</f>
        <v/>
      </c>
    </row>
    <row r="106">
      <c r="T106">
        <f>IF(INDEX(Stammdaten!$I$3:$I$303,106)="","",105)</f>
        <v/>
      </c>
      <c r="U106">
        <f>IFERROR(INDEX(Stammdaten!$I$3:$I$303,SMALL($T$2:$T$301,105)+1),"")</f>
        <v/>
      </c>
      <c r="W106">
        <f>IF(INDEX(Stammdaten!$H$3:$H$303,106)="","",105)</f>
        <v/>
      </c>
      <c r="X106">
        <f>IFERROR(INDEX(Stammdaten!$H$3:$H$303,SMALL($W$2:$W$301,105)+1),"")</f>
        <v/>
      </c>
      <c r="Z106">
        <f>IF(INDEX(Stammdaten!$B$3:$B$303,106)="","",IFERROR(MATCH(INDEX(Stammdaten!$A$3:$A$303,106),Kategorien,0),999)*1000+105)</f>
        <v/>
      </c>
      <c r="AA106">
        <f>IFERROR(SMALL($Z$2:$Z$301,105),"")</f>
        <v/>
      </c>
      <c r="AB106">
        <f>IF($AA106="","",INDEX(Stammdaten!$A$3:$A$303,MOD($AA106,1000)+1)&amp;"")</f>
        <v/>
      </c>
      <c r="AC106">
        <f>IF($AA106="","",INDEX(Stammdaten!$B$3:$B$303,MOD($AA106,1000)+1))</f>
        <v/>
      </c>
    </row>
    <row r="107">
      <c r="T107">
        <f>IF(INDEX(Stammdaten!$I$3:$I$303,107)="","",106)</f>
        <v/>
      </c>
      <c r="U107">
        <f>IFERROR(INDEX(Stammdaten!$I$3:$I$303,SMALL($T$2:$T$301,106)+1),"")</f>
        <v/>
      </c>
      <c r="W107">
        <f>IF(INDEX(Stammdaten!$H$3:$H$303,107)="","",106)</f>
        <v/>
      </c>
      <c r="X107">
        <f>IFERROR(INDEX(Stammdaten!$H$3:$H$303,SMALL($W$2:$W$301,106)+1),"")</f>
        <v/>
      </c>
      <c r="Z107">
        <f>IF(INDEX(Stammdaten!$B$3:$B$303,107)="","",IFERROR(MATCH(INDEX(Stammdaten!$A$3:$A$303,107),Kategorien,0),999)*1000+106)</f>
        <v/>
      </c>
      <c r="AA107">
        <f>IFERROR(SMALL($Z$2:$Z$301,106),"")</f>
        <v/>
      </c>
      <c r="AB107">
        <f>IF($AA107="","",INDEX(Stammdaten!$A$3:$A$303,MOD($AA107,1000)+1)&amp;"")</f>
        <v/>
      </c>
      <c r="AC107">
        <f>IF($AA107="","",INDEX(Stammdaten!$B$3:$B$303,MOD($AA107,1000)+1))</f>
        <v/>
      </c>
    </row>
    <row r="108">
      <c r="T108">
        <f>IF(INDEX(Stammdaten!$I$3:$I$303,108)="","",107)</f>
        <v/>
      </c>
      <c r="U108">
        <f>IFERROR(INDEX(Stammdaten!$I$3:$I$303,SMALL($T$2:$T$301,107)+1),"")</f>
        <v/>
      </c>
      <c r="W108">
        <f>IF(INDEX(Stammdaten!$H$3:$H$303,108)="","",107)</f>
        <v/>
      </c>
      <c r="X108">
        <f>IFERROR(INDEX(Stammdaten!$H$3:$H$303,SMALL($W$2:$W$301,107)+1),"")</f>
        <v/>
      </c>
      <c r="Z108">
        <f>IF(INDEX(Stammdaten!$B$3:$B$303,108)="","",IFERROR(MATCH(INDEX(Stammdaten!$A$3:$A$303,108),Kategorien,0),999)*1000+107)</f>
        <v/>
      </c>
      <c r="AA108">
        <f>IFERROR(SMALL($Z$2:$Z$301,107),"")</f>
        <v/>
      </c>
      <c r="AB108">
        <f>IF($AA108="","",INDEX(Stammdaten!$A$3:$A$303,MOD($AA108,1000)+1)&amp;"")</f>
        <v/>
      </c>
      <c r="AC108">
        <f>IF($AA108="","",INDEX(Stammdaten!$B$3:$B$303,MOD($AA108,1000)+1))</f>
        <v/>
      </c>
    </row>
    <row r="109">
      <c r="T109">
        <f>IF(INDEX(Stammdaten!$I$3:$I$303,109)="","",108)</f>
        <v/>
      </c>
      <c r="U109">
        <f>IFERROR(INDEX(Stammdaten!$I$3:$I$303,SMALL($T$2:$T$301,108)+1),"")</f>
        <v/>
      </c>
      <c r="W109">
        <f>IF(INDEX(Stammdaten!$H$3:$H$303,109)="","",108)</f>
        <v/>
      </c>
      <c r="X109">
        <f>IFERROR(INDEX(Stammdaten!$H$3:$H$303,SMALL($W$2:$W$301,108)+1),"")</f>
        <v/>
      </c>
      <c r="Z109">
        <f>IF(INDEX(Stammdaten!$B$3:$B$303,109)="","",IFERROR(MATCH(INDEX(Stammdaten!$A$3:$A$303,109),Kategorien,0),999)*1000+108)</f>
        <v/>
      </c>
      <c r="AA109">
        <f>IFERROR(SMALL($Z$2:$Z$301,108),"")</f>
        <v/>
      </c>
      <c r="AB109">
        <f>IF($AA109="","",INDEX(Stammdaten!$A$3:$A$303,MOD($AA109,1000)+1)&amp;"")</f>
        <v/>
      </c>
      <c r="AC109">
        <f>IF($AA109="","",INDEX(Stammdaten!$B$3:$B$303,MOD($AA109,1000)+1))</f>
        <v/>
      </c>
    </row>
    <row r="110">
      <c r="T110">
        <f>IF(INDEX(Stammdaten!$I$3:$I$303,110)="","",109)</f>
        <v/>
      </c>
      <c r="U110">
        <f>IFERROR(INDEX(Stammdaten!$I$3:$I$303,SMALL($T$2:$T$301,109)+1),"")</f>
        <v/>
      </c>
      <c r="W110">
        <f>IF(INDEX(Stammdaten!$H$3:$H$303,110)="","",109)</f>
        <v/>
      </c>
      <c r="X110">
        <f>IFERROR(INDEX(Stammdaten!$H$3:$H$303,SMALL($W$2:$W$301,109)+1),"")</f>
        <v/>
      </c>
      <c r="Z110">
        <f>IF(INDEX(Stammdaten!$B$3:$B$303,110)="","",IFERROR(MATCH(INDEX(Stammdaten!$A$3:$A$303,110),Kategorien,0),999)*1000+109)</f>
        <v/>
      </c>
      <c r="AA110">
        <f>IFERROR(SMALL($Z$2:$Z$301,109),"")</f>
        <v/>
      </c>
      <c r="AB110">
        <f>IF($AA110="","",INDEX(Stammdaten!$A$3:$A$303,MOD($AA110,1000)+1)&amp;"")</f>
        <v/>
      </c>
      <c r="AC110">
        <f>IF($AA110="","",INDEX(Stammdaten!$B$3:$B$303,MOD($AA110,1000)+1))</f>
        <v/>
      </c>
    </row>
    <row r="111">
      <c r="T111">
        <f>IF(INDEX(Stammdaten!$I$3:$I$303,111)="","",110)</f>
        <v/>
      </c>
      <c r="U111">
        <f>IFERROR(INDEX(Stammdaten!$I$3:$I$303,SMALL($T$2:$T$301,110)+1),"")</f>
        <v/>
      </c>
      <c r="W111">
        <f>IF(INDEX(Stammdaten!$H$3:$H$303,111)="","",110)</f>
        <v/>
      </c>
      <c r="X111">
        <f>IFERROR(INDEX(Stammdaten!$H$3:$H$303,SMALL($W$2:$W$301,110)+1),"")</f>
        <v/>
      </c>
      <c r="Z111">
        <f>IF(INDEX(Stammdaten!$B$3:$B$303,111)="","",IFERROR(MATCH(INDEX(Stammdaten!$A$3:$A$303,111),Kategorien,0),999)*1000+110)</f>
        <v/>
      </c>
      <c r="AA111">
        <f>IFERROR(SMALL($Z$2:$Z$301,110),"")</f>
        <v/>
      </c>
      <c r="AB111">
        <f>IF($AA111="","",INDEX(Stammdaten!$A$3:$A$303,MOD($AA111,1000)+1)&amp;"")</f>
        <v/>
      </c>
      <c r="AC111">
        <f>IF($AA111="","",INDEX(Stammdaten!$B$3:$B$303,MOD($AA111,1000)+1))</f>
        <v/>
      </c>
    </row>
    <row r="112">
      <c r="T112">
        <f>IF(INDEX(Stammdaten!$I$3:$I$303,112)="","",111)</f>
        <v/>
      </c>
      <c r="U112">
        <f>IFERROR(INDEX(Stammdaten!$I$3:$I$303,SMALL($T$2:$T$301,111)+1),"")</f>
        <v/>
      </c>
      <c r="W112">
        <f>IF(INDEX(Stammdaten!$H$3:$H$303,112)="","",111)</f>
        <v/>
      </c>
      <c r="X112">
        <f>IFERROR(INDEX(Stammdaten!$H$3:$H$303,SMALL($W$2:$W$301,111)+1),"")</f>
        <v/>
      </c>
      <c r="Z112">
        <f>IF(INDEX(Stammdaten!$B$3:$B$303,112)="","",IFERROR(MATCH(INDEX(Stammdaten!$A$3:$A$303,112),Kategorien,0),999)*1000+111)</f>
        <v/>
      </c>
      <c r="AA112">
        <f>IFERROR(SMALL($Z$2:$Z$301,111),"")</f>
        <v/>
      </c>
      <c r="AB112">
        <f>IF($AA112="","",INDEX(Stammdaten!$A$3:$A$303,MOD($AA112,1000)+1)&amp;"")</f>
        <v/>
      </c>
      <c r="AC112">
        <f>IF($AA112="","",INDEX(Stammdaten!$B$3:$B$303,MOD($AA112,1000)+1))</f>
        <v/>
      </c>
    </row>
    <row r="113">
      <c r="T113">
        <f>IF(INDEX(Stammdaten!$I$3:$I$303,113)="","",112)</f>
        <v/>
      </c>
      <c r="U113">
        <f>IFERROR(INDEX(Stammdaten!$I$3:$I$303,SMALL($T$2:$T$301,112)+1),"")</f>
        <v/>
      </c>
      <c r="W113">
        <f>IF(INDEX(Stammdaten!$H$3:$H$303,113)="","",112)</f>
        <v/>
      </c>
      <c r="X113">
        <f>IFERROR(INDEX(Stammdaten!$H$3:$H$303,SMALL($W$2:$W$301,112)+1),"")</f>
        <v/>
      </c>
      <c r="Z113">
        <f>IF(INDEX(Stammdaten!$B$3:$B$303,113)="","",IFERROR(MATCH(INDEX(Stammdaten!$A$3:$A$303,113),Kategorien,0),999)*1000+112)</f>
        <v/>
      </c>
      <c r="AA113">
        <f>IFERROR(SMALL($Z$2:$Z$301,112),"")</f>
        <v/>
      </c>
      <c r="AB113">
        <f>IF($AA113="","",INDEX(Stammdaten!$A$3:$A$303,MOD($AA113,1000)+1)&amp;"")</f>
        <v/>
      </c>
      <c r="AC113">
        <f>IF($AA113="","",INDEX(Stammdaten!$B$3:$B$303,MOD($AA113,1000)+1))</f>
        <v/>
      </c>
    </row>
    <row r="114">
      <c r="T114">
        <f>IF(INDEX(Stammdaten!$I$3:$I$303,114)="","",113)</f>
        <v/>
      </c>
      <c r="U114">
        <f>IFERROR(INDEX(Stammdaten!$I$3:$I$303,SMALL($T$2:$T$301,113)+1),"")</f>
        <v/>
      </c>
      <c r="W114">
        <f>IF(INDEX(Stammdaten!$H$3:$H$303,114)="","",113)</f>
        <v/>
      </c>
      <c r="X114">
        <f>IFERROR(INDEX(Stammdaten!$H$3:$H$303,SMALL($W$2:$W$301,113)+1),"")</f>
        <v/>
      </c>
      <c r="Z114">
        <f>IF(INDEX(Stammdaten!$B$3:$B$303,114)="","",IFERROR(MATCH(INDEX(Stammdaten!$A$3:$A$303,114),Kategorien,0),999)*1000+113)</f>
        <v/>
      </c>
      <c r="AA114">
        <f>IFERROR(SMALL($Z$2:$Z$301,113),"")</f>
        <v/>
      </c>
      <c r="AB114">
        <f>IF($AA114="","",INDEX(Stammdaten!$A$3:$A$303,MOD($AA114,1000)+1)&amp;"")</f>
        <v/>
      </c>
      <c r="AC114">
        <f>IF($AA114="","",INDEX(Stammdaten!$B$3:$B$303,MOD($AA114,1000)+1))</f>
        <v/>
      </c>
    </row>
    <row r="115">
      <c r="T115">
        <f>IF(INDEX(Stammdaten!$I$3:$I$303,115)="","",114)</f>
        <v/>
      </c>
      <c r="U115">
        <f>IFERROR(INDEX(Stammdaten!$I$3:$I$303,SMALL($T$2:$T$301,114)+1),"")</f>
        <v/>
      </c>
      <c r="W115">
        <f>IF(INDEX(Stammdaten!$H$3:$H$303,115)="","",114)</f>
        <v/>
      </c>
      <c r="X115">
        <f>IFERROR(INDEX(Stammdaten!$H$3:$H$303,SMALL($W$2:$W$301,114)+1),"")</f>
        <v/>
      </c>
      <c r="Z115">
        <f>IF(INDEX(Stammdaten!$B$3:$B$303,115)="","",IFERROR(MATCH(INDEX(Stammdaten!$A$3:$A$303,115),Kategorien,0),999)*1000+114)</f>
        <v/>
      </c>
      <c r="AA115">
        <f>IFERROR(SMALL($Z$2:$Z$301,114),"")</f>
        <v/>
      </c>
      <c r="AB115">
        <f>IF($AA115="","",INDEX(Stammdaten!$A$3:$A$303,MOD($AA115,1000)+1)&amp;"")</f>
        <v/>
      </c>
      <c r="AC115">
        <f>IF($AA115="","",INDEX(Stammdaten!$B$3:$B$303,MOD($AA115,1000)+1))</f>
        <v/>
      </c>
    </row>
    <row r="116">
      <c r="T116">
        <f>IF(INDEX(Stammdaten!$I$3:$I$303,116)="","",115)</f>
        <v/>
      </c>
      <c r="U116">
        <f>IFERROR(INDEX(Stammdaten!$I$3:$I$303,SMALL($T$2:$T$301,115)+1),"")</f>
        <v/>
      </c>
      <c r="W116">
        <f>IF(INDEX(Stammdaten!$H$3:$H$303,116)="","",115)</f>
        <v/>
      </c>
      <c r="X116">
        <f>IFERROR(INDEX(Stammdaten!$H$3:$H$303,SMALL($W$2:$W$301,115)+1),"")</f>
        <v/>
      </c>
      <c r="Z116">
        <f>IF(INDEX(Stammdaten!$B$3:$B$303,116)="","",IFERROR(MATCH(INDEX(Stammdaten!$A$3:$A$303,116),Kategorien,0),999)*1000+115)</f>
        <v/>
      </c>
      <c r="AA116">
        <f>IFERROR(SMALL($Z$2:$Z$301,115),"")</f>
        <v/>
      </c>
      <c r="AB116">
        <f>IF($AA116="","",INDEX(Stammdaten!$A$3:$A$303,MOD($AA116,1000)+1)&amp;"")</f>
        <v/>
      </c>
      <c r="AC116">
        <f>IF($AA116="","",INDEX(Stammdaten!$B$3:$B$303,MOD($AA116,1000)+1))</f>
        <v/>
      </c>
    </row>
    <row r="117">
      <c r="T117">
        <f>IF(INDEX(Stammdaten!$I$3:$I$303,117)="","",116)</f>
        <v/>
      </c>
      <c r="U117">
        <f>IFERROR(INDEX(Stammdaten!$I$3:$I$303,SMALL($T$2:$T$301,116)+1),"")</f>
        <v/>
      </c>
      <c r="W117">
        <f>IF(INDEX(Stammdaten!$H$3:$H$303,117)="","",116)</f>
        <v/>
      </c>
      <c r="X117">
        <f>IFERROR(INDEX(Stammdaten!$H$3:$H$303,SMALL($W$2:$W$301,116)+1),"")</f>
        <v/>
      </c>
      <c r="Z117">
        <f>IF(INDEX(Stammdaten!$B$3:$B$303,117)="","",IFERROR(MATCH(INDEX(Stammdaten!$A$3:$A$303,117),Kategorien,0),999)*1000+116)</f>
        <v/>
      </c>
      <c r="AA117">
        <f>IFERROR(SMALL($Z$2:$Z$301,116),"")</f>
        <v/>
      </c>
      <c r="AB117">
        <f>IF($AA117="","",INDEX(Stammdaten!$A$3:$A$303,MOD($AA117,1000)+1)&amp;"")</f>
        <v/>
      </c>
      <c r="AC117">
        <f>IF($AA117="","",INDEX(Stammdaten!$B$3:$B$303,MOD($AA117,1000)+1))</f>
        <v/>
      </c>
    </row>
    <row r="118">
      <c r="T118">
        <f>IF(INDEX(Stammdaten!$I$3:$I$303,118)="","",117)</f>
        <v/>
      </c>
      <c r="U118">
        <f>IFERROR(INDEX(Stammdaten!$I$3:$I$303,SMALL($T$2:$T$301,117)+1),"")</f>
        <v/>
      </c>
      <c r="W118">
        <f>IF(INDEX(Stammdaten!$H$3:$H$303,118)="","",117)</f>
        <v/>
      </c>
      <c r="X118">
        <f>IFERROR(INDEX(Stammdaten!$H$3:$H$303,SMALL($W$2:$W$301,117)+1),"")</f>
        <v/>
      </c>
      <c r="Z118">
        <f>IF(INDEX(Stammdaten!$B$3:$B$303,118)="","",IFERROR(MATCH(INDEX(Stammdaten!$A$3:$A$303,118),Kategorien,0),999)*1000+117)</f>
        <v/>
      </c>
      <c r="AA118">
        <f>IFERROR(SMALL($Z$2:$Z$301,117),"")</f>
        <v/>
      </c>
      <c r="AB118">
        <f>IF($AA118="","",INDEX(Stammdaten!$A$3:$A$303,MOD($AA118,1000)+1)&amp;"")</f>
        <v/>
      </c>
      <c r="AC118">
        <f>IF($AA118="","",INDEX(Stammdaten!$B$3:$B$303,MOD($AA118,1000)+1))</f>
        <v/>
      </c>
    </row>
    <row r="119">
      <c r="T119">
        <f>IF(INDEX(Stammdaten!$I$3:$I$303,119)="","",118)</f>
        <v/>
      </c>
      <c r="U119">
        <f>IFERROR(INDEX(Stammdaten!$I$3:$I$303,SMALL($T$2:$T$301,118)+1),"")</f>
        <v/>
      </c>
      <c r="W119">
        <f>IF(INDEX(Stammdaten!$H$3:$H$303,119)="","",118)</f>
        <v/>
      </c>
      <c r="X119">
        <f>IFERROR(INDEX(Stammdaten!$H$3:$H$303,SMALL($W$2:$W$301,118)+1),"")</f>
        <v/>
      </c>
      <c r="Z119">
        <f>IF(INDEX(Stammdaten!$B$3:$B$303,119)="","",IFERROR(MATCH(INDEX(Stammdaten!$A$3:$A$303,119),Kategorien,0),999)*1000+118)</f>
        <v/>
      </c>
      <c r="AA119">
        <f>IFERROR(SMALL($Z$2:$Z$301,118),"")</f>
        <v/>
      </c>
      <c r="AB119">
        <f>IF($AA119="","",INDEX(Stammdaten!$A$3:$A$303,MOD($AA119,1000)+1)&amp;"")</f>
        <v/>
      </c>
      <c r="AC119">
        <f>IF($AA119="","",INDEX(Stammdaten!$B$3:$B$303,MOD($AA119,1000)+1))</f>
        <v/>
      </c>
    </row>
    <row r="120">
      <c r="T120">
        <f>IF(INDEX(Stammdaten!$I$3:$I$303,120)="","",119)</f>
        <v/>
      </c>
      <c r="U120">
        <f>IFERROR(INDEX(Stammdaten!$I$3:$I$303,SMALL($T$2:$T$301,119)+1),"")</f>
        <v/>
      </c>
      <c r="W120">
        <f>IF(INDEX(Stammdaten!$H$3:$H$303,120)="","",119)</f>
        <v/>
      </c>
      <c r="X120">
        <f>IFERROR(INDEX(Stammdaten!$H$3:$H$303,SMALL($W$2:$W$301,119)+1),"")</f>
        <v/>
      </c>
      <c r="Z120">
        <f>IF(INDEX(Stammdaten!$B$3:$B$303,120)="","",IFERROR(MATCH(INDEX(Stammdaten!$A$3:$A$303,120),Kategorien,0),999)*1000+119)</f>
        <v/>
      </c>
      <c r="AA120">
        <f>IFERROR(SMALL($Z$2:$Z$301,119),"")</f>
        <v/>
      </c>
      <c r="AB120">
        <f>IF($AA120="","",INDEX(Stammdaten!$A$3:$A$303,MOD($AA120,1000)+1)&amp;"")</f>
        <v/>
      </c>
      <c r="AC120">
        <f>IF($AA120="","",INDEX(Stammdaten!$B$3:$B$303,MOD($AA120,1000)+1))</f>
        <v/>
      </c>
    </row>
    <row r="121">
      <c r="T121">
        <f>IF(INDEX(Stammdaten!$I$3:$I$303,121)="","",120)</f>
        <v/>
      </c>
      <c r="U121">
        <f>IFERROR(INDEX(Stammdaten!$I$3:$I$303,SMALL($T$2:$T$301,120)+1),"")</f>
        <v/>
      </c>
      <c r="W121">
        <f>IF(INDEX(Stammdaten!$H$3:$H$303,121)="","",120)</f>
        <v/>
      </c>
      <c r="X121">
        <f>IFERROR(INDEX(Stammdaten!$H$3:$H$303,SMALL($W$2:$W$301,120)+1),"")</f>
        <v/>
      </c>
      <c r="Z121">
        <f>IF(INDEX(Stammdaten!$B$3:$B$303,121)="","",IFERROR(MATCH(INDEX(Stammdaten!$A$3:$A$303,121),Kategorien,0),999)*1000+120)</f>
        <v/>
      </c>
      <c r="AA121">
        <f>IFERROR(SMALL($Z$2:$Z$301,120),"")</f>
        <v/>
      </c>
      <c r="AB121">
        <f>IF($AA121="","",INDEX(Stammdaten!$A$3:$A$303,MOD($AA121,1000)+1)&amp;"")</f>
        <v/>
      </c>
      <c r="AC121">
        <f>IF($AA121="","",INDEX(Stammdaten!$B$3:$B$303,MOD($AA121,1000)+1))</f>
        <v/>
      </c>
    </row>
    <row r="122">
      <c r="T122">
        <f>IF(INDEX(Stammdaten!$I$3:$I$303,122)="","",121)</f>
        <v/>
      </c>
      <c r="U122">
        <f>IFERROR(INDEX(Stammdaten!$I$3:$I$303,SMALL($T$2:$T$301,121)+1),"")</f>
        <v/>
      </c>
      <c r="W122">
        <f>IF(INDEX(Stammdaten!$H$3:$H$303,122)="","",121)</f>
        <v/>
      </c>
      <c r="X122">
        <f>IFERROR(INDEX(Stammdaten!$H$3:$H$303,SMALL($W$2:$W$301,121)+1),"")</f>
        <v/>
      </c>
      <c r="Z122">
        <f>IF(INDEX(Stammdaten!$B$3:$B$303,122)="","",IFERROR(MATCH(INDEX(Stammdaten!$A$3:$A$303,122),Kategorien,0),999)*1000+121)</f>
        <v/>
      </c>
      <c r="AA122">
        <f>IFERROR(SMALL($Z$2:$Z$301,121),"")</f>
        <v/>
      </c>
      <c r="AB122">
        <f>IF($AA122="","",INDEX(Stammdaten!$A$3:$A$303,MOD($AA122,1000)+1)&amp;"")</f>
        <v/>
      </c>
      <c r="AC122">
        <f>IF($AA122="","",INDEX(Stammdaten!$B$3:$B$303,MOD($AA122,1000)+1))</f>
        <v/>
      </c>
    </row>
    <row r="123">
      <c r="T123">
        <f>IF(INDEX(Stammdaten!$I$3:$I$303,123)="","",122)</f>
        <v/>
      </c>
      <c r="U123">
        <f>IFERROR(INDEX(Stammdaten!$I$3:$I$303,SMALL($T$2:$T$301,122)+1),"")</f>
        <v/>
      </c>
      <c r="W123">
        <f>IF(INDEX(Stammdaten!$H$3:$H$303,123)="","",122)</f>
        <v/>
      </c>
      <c r="X123">
        <f>IFERROR(INDEX(Stammdaten!$H$3:$H$303,SMALL($W$2:$W$301,122)+1),"")</f>
        <v/>
      </c>
      <c r="Z123">
        <f>IF(INDEX(Stammdaten!$B$3:$B$303,123)="","",IFERROR(MATCH(INDEX(Stammdaten!$A$3:$A$303,123),Kategorien,0),999)*1000+122)</f>
        <v/>
      </c>
      <c r="AA123">
        <f>IFERROR(SMALL($Z$2:$Z$301,122),"")</f>
        <v/>
      </c>
      <c r="AB123">
        <f>IF($AA123="","",INDEX(Stammdaten!$A$3:$A$303,MOD($AA123,1000)+1)&amp;"")</f>
        <v/>
      </c>
      <c r="AC123">
        <f>IF($AA123="","",INDEX(Stammdaten!$B$3:$B$303,MOD($AA123,1000)+1))</f>
        <v/>
      </c>
    </row>
    <row r="124">
      <c r="T124">
        <f>IF(INDEX(Stammdaten!$I$3:$I$303,124)="","",123)</f>
        <v/>
      </c>
      <c r="U124">
        <f>IFERROR(INDEX(Stammdaten!$I$3:$I$303,SMALL($T$2:$T$301,123)+1),"")</f>
        <v/>
      </c>
      <c r="W124">
        <f>IF(INDEX(Stammdaten!$H$3:$H$303,124)="","",123)</f>
        <v/>
      </c>
      <c r="X124">
        <f>IFERROR(INDEX(Stammdaten!$H$3:$H$303,SMALL($W$2:$W$301,123)+1),"")</f>
        <v/>
      </c>
      <c r="Z124">
        <f>IF(INDEX(Stammdaten!$B$3:$B$303,124)="","",IFERROR(MATCH(INDEX(Stammdaten!$A$3:$A$303,124),Kategorien,0),999)*1000+123)</f>
        <v/>
      </c>
      <c r="AA124">
        <f>IFERROR(SMALL($Z$2:$Z$301,123),"")</f>
        <v/>
      </c>
      <c r="AB124">
        <f>IF($AA124="","",INDEX(Stammdaten!$A$3:$A$303,MOD($AA124,1000)+1)&amp;"")</f>
        <v/>
      </c>
      <c r="AC124">
        <f>IF($AA124="","",INDEX(Stammdaten!$B$3:$B$303,MOD($AA124,1000)+1))</f>
        <v/>
      </c>
    </row>
    <row r="125">
      <c r="T125">
        <f>IF(INDEX(Stammdaten!$I$3:$I$303,125)="","",124)</f>
        <v/>
      </c>
      <c r="U125">
        <f>IFERROR(INDEX(Stammdaten!$I$3:$I$303,SMALL($T$2:$T$301,124)+1),"")</f>
        <v/>
      </c>
      <c r="W125">
        <f>IF(INDEX(Stammdaten!$H$3:$H$303,125)="","",124)</f>
        <v/>
      </c>
      <c r="X125">
        <f>IFERROR(INDEX(Stammdaten!$H$3:$H$303,SMALL($W$2:$W$301,124)+1),"")</f>
        <v/>
      </c>
      <c r="Z125">
        <f>IF(INDEX(Stammdaten!$B$3:$B$303,125)="","",IFERROR(MATCH(INDEX(Stammdaten!$A$3:$A$303,125),Kategorien,0),999)*1000+124)</f>
        <v/>
      </c>
      <c r="AA125">
        <f>IFERROR(SMALL($Z$2:$Z$301,124),"")</f>
        <v/>
      </c>
      <c r="AB125">
        <f>IF($AA125="","",INDEX(Stammdaten!$A$3:$A$303,MOD($AA125,1000)+1)&amp;"")</f>
        <v/>
      </c>
      <c r="AC125">
        <f>IF($AA125="","",INDEX(Stammdaten!$B$3:$B$303,MOD($AA125,1000)+1))</f>
        <v/>
      </c>
    </row>
    <row r="126">
      <c r="T126">
        <f>IF(INDEX(Stammdaten!$I$3:$I$303,126)="","",125)</f>
        <v/>
      </c>
      <c r="U126">
        <f>IFERROR(INDEX(Stammdaten!$I$3:$I$303,SMALL($T$2:$T$301,125)+1),"")</f>
        <v/>
      </c>
      <c r="W126">
        <f>IF(INDEX(Stammdaten!$H$3:$H$303,126)="","",125)</f>
        <v/>
      </c>
      <c r="X126">
        <f>IFERROR(INDEX(Stammdaten!$H$3:$H$303,SMALL($W$2:$W$301,125)+1),"")</f>
        <v/>
      </c>
      <c r="Z126">
        <f>IF(INDEX(Stammdaten!$B$3:$B$303,126)="","",IFERROR(MATCH(INDEX(Stammdaten!$A$3:$A$303,126),Kategorien,0),999)*1000+125)</f>
        <v/>
      </c>
      <c r="AA126">
        <f>IFERROR(SMALL($Z$2:$Z$301,125),"")</f>
        <v/>
      </c>
      <c r="AB126">
        <f>IF($AA126="","",INDEX(Stammdaten!$A$3:$A$303,MOD($AA126,1000)+1)&amp;"")</f>
        <v/>
      </c>
      <c r="AC126">
        <f>IF($AA126="","",INDEX(Stammdaten!$B$3:$B$303,MOD($AA126,1000)+1))</f>
        <v/>
      </c>
    </row>
    <row r="127">
      <c r="T127">
        <f>IF(INDEX(Stammdaten!$I$3:$I$303,127)="","",126)</f>
        <v/>
      </c>
      <c r="U127">
        <f>IFERROR(INDEX(Stammdaten!$I$3:$I$303,SMALL($T$2:$T$301,126)+1),"")</f>
        <v/>
      </c>
      <c r="W127">
        <f>IF(INDEX(Stammdaten!$H$3:$H$303,127)="","",126)</f>
        <v/>
      </c>
      <c r="X127">
        <f>IFERROR(INDEX(Stammdaten!$H$3:$H$303,SMALL($W$2:$W$301,126)+1),"")</f>
        <v/>
      </c>
      <c r="Z127">
        <f>IF(INDEX(Stammdaten!$B$3:$B$303,127)="","",IFERROR(MATCH(INDEX(Stammdaten!$A$3:$A$303,127),Kategorien,0),999)*1000+126)</f>
        <v/>
      </c>
      <c r="AA127">
        <f>IFERROR(SMALL($Z$2:$Z$301,126),"")</f>
        <v/>
      </c>
      <c r="AB127">
        <f>IF($AA127="","",INDEX(Stammdaten!$A$3:$A$303,MOD($AA127,1000)+1)&amp;"")</f>
        <v/>
      </c>
      <c r="AC127">
        <f>IF($AA127="","",INDEX(Stammdaten!$B$3:$B$303,MOD($AA127,1000)+1))</f>
        <v/>
      </c>
    </row>
    <row r="128">
      <c r="T128">
        <f>IF(INDEX(Stammdaten!$I$3:$I$303,128)="","",127)</f>
        <v/>
      </c>
      <c r="U128">
        <f>IFERROR(INDEX(Stammdaten!$I$3:$I$303,SMALL($T$2:$T$301,127)+1),"")</f>
        <v/>
      </c>
      <c r="W128">
        <f>IF(INDEX(Stammdaten!$H$3:$H$303,128)="","",127)</f>
        <v/>
      </c>
      <c r="X128">
        <f>IFERROR(INDEX(Stammdaten!$H$3:$H$303,SMALL($W$2:$W$301,127)+1),"")</f>
        <v/>
      </c>
      <c r="Z128">
        <f>IF(INDEX(Stammdaten!$B$3:$B$303,128)="","",IFERROR(MATCH(INDEX(Stammdaten!$A$3:$A$303,128),Kategorien,0),999)*1000+127)</f>
        <v/>
      </c>
      <c r="AA128">
        <f>IFERROR(SMALL($Z$2:$Z$301,127),"")</f>
        <v/>
      </c>
      <c r="AB128">
        <f>IF($AA128="","",INDEX(Stammdaten!$A$3:$A$303,MOD($AA128,1000)+1)&amp;"")</f>
        <v/>
      </c>
      <c r="AC128">
        <f>IF($AA128="","",INDEX(Stammdaten!$B$3:$B$303,MOD($AA128,1000)+1))</f>
        <v/>
      </c>
    </row>
    <row r="129">
      <c r="T129">
        <f>IF(INDEX(Stammdaten!$I$3:$I$303,129)="","",128)</f>
        <v/>
      </c>
      <c r="U129">
        <f>IFERROR(INDEX(Stammdaten!$I$3:$I$303,SMALL($T$2:$T$301,128)+1),"")</f>
        <v/>
      </c>
      <c r="W129">
        <f>IF(INDEX(Stammdaten!$H$3:$H$303,129)="","",128)</f>
        <v/>
      </c>
      <c r="X129">
        <f>IFERROR(INDEX(Stammdaten!$H$3:$H$303,SMALL($W$2:$W$301,128)+1),"")</f>
        <v/>
      </c>
      <c r="Z129">
        <f>IF(INDEX(Stammdaten!$B$3:$B$303,129)="","",IFERROR(MATCH(INDEX(Stammdaten!$A$3:$A$303,129),Kategorien,0),999)*1000+128)</f>
        <v/>
      </c>
      <c r="AA129">
        <f>IFERROR(SMALL($Z$2:$Z$301,128),"")</f>
        <v/>
      </c>
      <c r="AB129">
        <f>IF($AA129="","",INDEX(Stammdaten!$A$3:$A$303,MOD($AA129,1000)+1)&amp;"")</f>
        <v/>
      </c>
      <c r="AC129">
        <f>IF($AA129="","",INDEX(Stammdaten!$B$3:$B$303,MOD($AA129,1000)+1))</f>
        <v/>
      </c>
    </row>
    <row r="130">
      <c r="T130">
        <f>IF(INDEX(Stammdaten!$I$3:$I$303,130)="","",129)</f>
        <v/>
      </c>
      <c r="U130">
        <f>IFERROR(INDEX(Stammdaten!$I$3:$I$303,SMALL($T$2:$T$301,129)+1),"")</f>
        <v/>
      </c>
      <c r="W130">
        <f>IF(INDEX(Stammdaten!$H$3:$H$303,130)="","",129)</f>
        <v/>
      </c>
      <c r="X130">
        <f>IFERROR(INDEX(Stammdaten!$H$3:$H$303,SMALL($W$2:$W$301,129)+1),"")</f>
        <v/>
      </c>
      <c r="Z130">
        <f>IF(INDEX(Stammdaten!$B$3:$B$303,130)="","",IFERROR(MATCH(INDEX(Stammdaten!$A$3:$A$303,130),Kategorien,0),999)*1000+129)</f>
        <v/>
      </c>
      <c r="AA130">
        <f>IFERROR(SMALL($Z$2:$Z$301,129),"")</f>
        <v/>
      </c>
      <c r="AB130">
        <f>IF($AA130="","",INDEX(Stammdaten!$A$3:$A$303,MOD($AA130,1000)+1)&amp;"")</f>
        <v/>
      </c>
      <c r="AC130">
        <f>IF($AA130="","",INDEX(Stammdaten!$B$3:$B$303,MOD($AA130,1000)+1))</f>
        <v/>
      </c>
    </row>
    <row r="131">
      <c r="T131">
        <f>IF(INDEX(Stammdaten!$I$3:$I$303,131)="","",130)</f>
        <v/>
      </c>
      <c r="U131">
        <f>IFERROR(INDEX(Stammdaten!$I$3:$I$303,SMALL($T$2:$T$301,130)+1),"")</f>
        <v/>
      </c>
      <c r="W131">
        <f>IF(INDEX(Stammdaten!$H$3:$H$303,131)="","",130)</f>
        <v/>
      </c>
      <c r="X131">
        <f>IFERROR(INDEX(Stammdaten!$H$3:$H$303,SMALL($W$2:$W$301,130)+1),"")</f>
        <v/>
      </c>
      <c r="Z131">
        <f>IF(INDEX(Stammdaten!$B$3:$B$303,131)="","",IFERROR(MATCH(INDEX(Stammdaten!$A$3:$A$303,131),Kategorien,0),999)*1000+130)</f>
        <v/>
      </c>
      <c r="AA131">
        <f>IFERROR(SMALL($Z$2:$Z$301,130),"")</f>
        <v/>
      </c>
      <c r="AB131">
        <f>IF($AA131="","",INDEX(Stammdaten!$A$3:$A$303,MOD($AA131,1000)+1)&amp;"")</f>
        <v/>
      </c>
      <c r="AC131">
        <f>IF($AA131="","",INDEX(Stammdaten!$B$3:$B$303,MOD($AA131,1000)+1))</f>
        <v/>
      </c>
    </row>
    <row r="132">
      <c r="T132">
        <f>IF(INDEX(Stammdaten!$I$3:$I$303,132)="","",131)</f>
        <v/>
      </c>
      <c r="U132">
        <f>IFERROR(INDEX(Stammdaten!$I$3:$I$303,SMALL($T$2:$T$301,131)+1),"")</f>
        <v/>
      </c>
      <c r="W132">
        <f>IF(INDEX(Stammdaten!$H$3:$H$303,132)="","",131)</f>
        <v/>
      </c>
      <c r="X132">
        <f>IFERROR(INDEX(Stammdaten!$H$3:$H$303,SMALL($W$2:$W$301,131)+1),"")</f>
        <v/>
      </c>
      <c r="Z132">
        <f>IF(INDEX(Stammdaten!$B$3:$B$303,132)="","",IFERROR(MATCH(INDEX(Stammdaten!$A$3:$A$303,132),Kategorien,0),999)*1000+131)</f>
        <v/>
      </c>
      <c r="AA132">
        <f>IFERROR(SMALL($Z$2:$Z$301,131),"")</f>
        <v/>
      </c>
      <c r="AB132">
        <f>IF($AA132="","",INDEX(Stammdaten!$A$3:$A$303,MOD($AA132,1000)+1)&amp;"")</f>
        <v/>
      </c>
      <c r="AC132">
        <f>IF($AA132="","",INDEX(Stammdaten!$B$3:$B$303,MOD($AA132,1000)+1))</f>
        <v/>
      </c>
    </row>
    <row r="133">
      <c r="T133">
        <f>IF(INDEX(Stammdaten!$I$3:$I$303,133)="","",132)</f>
        <v/>
      </c>
      <c r="U133">
        <f>IFERROR(INDEX(Stammdaten!$I$3:$I$303,SMALL($T$2:$T$301,132)+1),"")</f>
        <v/>
      </c>
      <c r="W133">
        <f>IF(INDEX(Stammdaten!$H$3:$H$303,133)="","",132)</f>
        <v/>
      </c>
      <c r="X133">
        <f>IFERROR(INDEX(Stammdaten!$H$3:$H$303,SMALL($W$2:$W$301,132)+1),"")</f>
        <v/>
      </c>
      <c r="Z133">
        <f>IF(INDEX(Stammdaten!$B$3:$B$303,133)="","",IFERROR(MATCH(INDEX(Stammdaten!$A$3:$A$303,133),Kategorien,0),999)*1000+132)</f>
        <v/>
      </c>
      <c r="AA133">
        <f>IFERROR(SMALL($Z$2:$Z$301,132),"")</f>
        <v/>
      </c>
      <c r="AB133">
        <f>IF($AA133="","",INDEX(Stammdaten!$A$3:$A$303,MOD($AA133,1000)+1)&amp;"")</f>
        <v/>
      </c>
      <c r="AC133">
        <f>IF($AA133="","",INDEX(Stammdaten!$B$3:$B$303,MOD($AA133,1000)+1))</f>
        <v/>
      </c>
    </row>
    <row r="134">
      <c r="T134">
        <f>IF(INDEX(Stammdaten!$I$3:$I$303,134)="","",133)</f>
        <v/>
      </c>
      <c r="U134">
        <f>IFERROR(INDEX(Stammdaten!$I$3:$I$303,SMALL($T$2:$T$301,133)+1),"")</f>
        <v/>
      </c>
      <c r="W134">
        <f>IF(INDEX(Stammdaten!$H$3:$H$303,134)="","",133)</f>
        <v/>
      </c>
      <c r="X134">
        <f>IFERROR(INDEX(Stammdaten!$H$3:$H$303,SMALL($W$2:$W$301,133)+1),"")</f>
        <v/>
      </c>
      <c r="Z134">
        <f>IF(INDEX(Stammdaten!$B$3:$B$303,134)="","",IFERROR(MATCH(INDEX(Stammdaten!$A$3:$A$303,134),Kategorien,0),999)*1000+133)</f>
        <v/>
      </c>
      <c r="AA134">
        <f>IFERROR(SMALL($Z$2:$Z$301,133),"")</f>
        <v/>
      </c>
      <c r="AB134">
        <f>IF($AA134="","",INDEX(Stammdaten!$A$3:$A$303,MOD($AA134,1000)+1)&amp;"")</f>
        <v/>
      </c>
      <c r="AC134">
        <f>IF($AA134="","",INDEX(Stammdaten!$B$3:$B$303,MOD($AA134,1000)+1))</f>
        <v/>
      </c>
    </row>
    <row r="135">
      <c r="T135">
        <f>IF(INDEX(Stammdaten!$I$3:$I$303,135)="","",134)</f>
        <v/>
      </c>
      <c r="U135">
        <f>IFERROR(INDEX(Stammdaten!$I$3:$I$303,SMALL($T$2:$T$301,134)+1),"")</f>
        <v/>
      </c>
      <c r="W135">
        <f>IF(INDEX(Stammdaten!$H$3:$H$303,135)="","",134)</f>
        <v/>
      </c>
      <c r="X135">
        <f>IFERROR(INDEX(Stammdaten!$H$3:$H$303,SMALL($W$2:$W$301,134)+1),"")</f>
        <v/>
      </c>
      <c r="Z135">
        <f>IF(INDEX(Stammdaten!$B$3:$B$303,135)="","",IFERROR(MATCH(INDEX(Stammdaten!$A$3:$A$303,135),Kategorien,0),999)*1000+134)</f>
        <v/>
      </c>
      <c r="AA135">
        <f>IFERROR(SMALL($Z$2:$Z$301,134),"")</f>
        <v/>
      </c>
      <c r="AB135">
        <f>IF($AA135="","",INDEX(Stammdaten!$A$3:$A$303,MOD($AA135,1000)+1)&amp;"")</f>
        <v/>
      </c>
      <c r="AC135">
        <f>IF($AA135="","",INDEX(Stammdaten!$B$3:$B$303,MOD($AA135,1000)+1))</f>
        <v/>
      </c>
    </row>
    <row r="136">
      <c r="T136">
        <f>IF(INDEX(Stammdaten!$I$3:$I$303,136)="","",135)</f>
        <v/>
      </c>
      <c r="U136">
        <f>IFERROR(INDEX(Stammdaten!$I$3:$I$303,SMALL($T$2:$T$301,135)+1),"")</f>
        <v/>
      </c>
      <c r="W136">
        <f>IF(INDEX(Stammdaten!$H$3:$H$303,136)="","",135)</f>
        <v/>
      </c>
      <c r="X136">
        <f>IFERROR(INDEX(Stammdaten!$H$3:$H$303,SMALL($W$2:$W$301,135)+1),"")</f>
        <v/>
      </c>
      <c r="Z136">
        <f>IF(INDEX(Stammdaten!$B$3:$B$303,136)="","",IFERROR(MATCH(INDEX(Stammdaten!$A$3:$A$303,136),Kategorien,0),999)*1000+135)</f>
        <v/>
      </c>
      <c r="AA136">
        <f>IFERROR(SMALL($Z$2:$Z$301,135),"")</f>
        <v/>
      </c>
      <c r="AB136">
        <f>IF($AA136="","",INDEX(Stammdaten!$A$3:$A$303,MOD($AA136,1000)+1)&amp;"")</f>
        <v/>
      </c>
      <c r="AC136">
        <f>IF($AA136="","",INDEX(Stammdaten!$B$3:$B$303,MOD($AA136,1000)+1))</f>
        <v/>
      </c>
    </row>
    <row r="137">
      <c r="T137">
        <f>IF(INDEX(Stammdaten!$I$3:$I$303,137)="","",136)</f>
        <v/>
      </c>
      <c r="U137">
        <f>IFERROR(INDEX(Stammdaten!$I$3:$I$303,SMALL($T$2:$T$301,136)+1),"")</f>
        <v/>
      </c>
      <c r="W137">
        <f>IF(INDEX(Stammdaten!$H$3:$H$303,137)="","",136)</f>
        <v/>
      </c>
      <c r="X137">
        <f>IFERROR(INDEX(Stammdaten!$H$3:$H$303,SMALL($W$2:$W$301,136)+1),"")</f>
        <v/>
      </c>
      <c r="Z137">
        <f>IF(INDEX(Stammdaten!$B$3:$B$303,137)="","",IFERROR(MATCH(INDEX(Stammdaten!$A$3:$A$303,137),Kategorien,0),999)*1000+136)</f>
        <v/>
      </c>
      <c r="AA137">
        <f>IFERROR(SMALL($Z$2:$Z$301,136),"")</f>
        <v/>
      </c>
      <c r="AB137">
        <f>IF($AA137="","",INDEX(Stammdaten!$A$3:$A$303,MOD($AA137,1000)+1)&amp;"")</f>
        <v/>
      </c>
      <c r="AC137">
        <f>IF($AA137="","",INDEX(Stammdaten!$B$3:$B$303,MOD($AA137,1000)+1))</f>
        <v/>
      </c>
    </row>
    <row r="138">
      <c r="T138">
        <f>IF(INDEX(Stammdaten!$I$3:$I$303,138)="","",137)</f>
        <v/>
      </c>
      <c r="U138">
        <f>IFERROR(INDEX(Stammdaten!$I$3:$I$303,SMALL($T$2:$T$301,137)+1),"")</f>
        <v/>
      </c>
      <c r="W138">
        <f>IF(INDEX(Stammdaten!$H$3:$H$303,138)="","",137)</f>
        <v/>
      </c>
      <c r="X138">
        <f>IFERROR(INDEX(Stammdaten!$H$3:$H$303,SMALL($W$2:$W$301,137)+1),"")</f>
        <v/>
      </c>
      <c r="Z138">
        <f>IF(INDEX(Stammdaten!$B$3:$B$303,138)="","",IFERROR(MATCH(INDEX(Stammdaten!$A$3:$A$303,138),Kategorien,0),999)*1000+137)</f>
        <v/>
      </c>
      <c r="AA138">
        <f>IFERROR(SMALL($Z$2:$Z$301,137),"")</f>
        <v/>
      </c>
      <c r="AB138">
        <f>IF($AA138="","",INDEX(Stammdaten!$A$3:$A$303,MOD($AA138,1000)+1)&amp;"")</f>
        <v/>
      </c>
      <c r="AC138">
        <f>IF($AA138="","",INDEX(Stammdaten!$B$3:$B$303,MOD($AA138,1000)+1))</f>
        <v/>
      </c>
    </row>
    <row r="139">
      <c r="T139">
        <f>IF(INDEX(Stammdaten!$I$3:$I$303,139)="","",138)</f>
        <v/>
      </c>
      <c r="U139">
        <f>IFERROR(INDEX(Stammdaten!$I$3:$I$303,SMALL($T$2:$T$301,138)+1),"")</f>
        <v/>
      </c>
      <c r="W139">
        <f>IF(INDEX(Stammdaten!$H$3:$H$303,139)="","",138)</f>
        <v/>
      </c>
      <c r="X139">
        <f>IFERROR(INDEX(Stammdaten!$H$3:$H$303,SMALL($W$2:$W$301,138)+1),"")</f>
        <v/>
      </c>
      <c r="Z139">
        <f>IF(INDEX(Stammdaten!$B$3:$B$303,139)="","",IFERROR(MATCH(INDEX(Stammdaten!$A$3:$A$303,139),Kategorien,0),999)*1000+138)</f>
        <v/>
      </c>
      <c r="AA139">
        <f>IFERROR(SMALL($Z$2:$Z$301,138),"")</f>
        <v/>
      </c>
      <c r="AB139">
        <f>IF($AA139="","",INDEX(Stammdaten!$A$3:$A$303,MOD($AA139,1000)+1)&amp;"")</f>
        <v/>
      </c>
      <c r="AC139">
        <f>IF($AA139="","",INDEX(Stammdaten!$B$3:$B$303,MOD($AA139,1000)+1))</f>
        <v/>
      </c>
    </row>
    <row r="140">
      <c r="T140">
        <f>IF(INDEX(Stammdaten!$I$3:$I$303,140)="","",139)</f>
        <v/>
      </c>
      <c r="U140">
        <f>IFERROR(INDEX(Stammdaten!$I$3:$I$303,SMALL($T$2:$T$301,139)+1),"")</f>
        <v/>
      </c>
      <c r="W140">
        <f>IF(INDEX(Stammdaten!$H$3:$H$303,140)="","",139)</f>
        <v/>
      </c>
      <c r="X140">
        <f>IFERROR(INDEX(Stammdaten!$H$3:$H$303,SMALL($W$2:$W$301,139)+1),"")</f>
        <v/>
      </c>
      <c r="Z140">
        <f>IF(INDEX(Stammdaten!$B$3:$B$303,140)="","",IFERROR(MATCH(INDEX(Stammdaten!$A$3:$A$303,140),Kategorien,0),999)*1000+139)</f>
        <v/>
      </c>
      <c r="AA140">
        <f>IFERROR(SMALL($Z$2:$Z$301,139),"")</f>
        <v/>
      </c>
      <c r="AB140">
        <f>IF($AA140="","",INDEX(Stammdaten!$A$3:$A$303,MOD($AA140,1000)+1)&amp;"")</f>
        <v/>
      </c>
      <c r="AC140">
        <f>IF($AA140="","",INDEX(Stammdaten!$B$3:$B$303,MOD($AA140,1000)+1))</f>
        <v/>
      </c>
    </row>
    <row r="141">
      <c r="T141">
        <f>IF(INDEX(Stammdaten!$I$3:$I$303,141)="","",140)</f>
        <v/>
      </c>
      <c r="U141">
        <f>IFERROR(INDEX(Stammdaten!$I$3:$I$303,SMALL($T$2:$T$301,140)+1),"")</f>
        <v/>
      </c>
      <c r="W141">
        <f>IF(INDEX(Stammdaten!$H$3:$H$303,141)="","",140)</f>
        <v/>
      </c>
      <c r="X141">
        <f>IFERROR(INDEX(Stammdaten!$H$3:$H$303,SMALL($W$2:$W$301,140)+1),"")</f>
        <v/>
      </c>
      <c r="Z141">
        <f>IF(INDEX(Stammdaten!$B$3:$B$303,141)="","",IFERROR(MATCH(INDEX(Stammdaten!$A$3:$A$303,141),Kategorien,0),999)*1000+140)</f>
        <v/>
      </c>
      <c r="AA141">
        <f>IFERROR(SMALL($Z$2:$Z$301,140),"")</f>
        <v/>
      </c>
      <c r="AB141">
        <f>IF($AA141="","",INDEX(Stammdaten!$A$3:$A$303,MOD($AA141,1000)+1)&amp;"")</f>
        <v/>
      </c>
      <c r="AC141">
        <f>IF($AA141="","",INDEX(Stammdaten!$B$3:$B$303,MOD($AA141,1000)+1))</f>
        <v/>
      </c>
    </row>
    <row r="142">
      <c r="T142">
        <f>IF(INDEX(Stammdaten!$I$3:$I$303,142)="","",141)</f>
        <v/>
      </c>
      <c r="U142">
        <f>IFERROR(INDEX(Stammdaten!$I$3:$I$303,SMALL($T$2:$T$301,141)+1),"")</f>
        <v/>
      </c>
      <c r="W142">
        <f>IF(INDEX(Stammdaten!$H$3:$H$303,142)="","",141)</f>
        <v/>
      </c>
      <c r="X142">
        <f>IFERROR(INDEX(Stammdaten!$H$3:$H$303,SMALL($W$2:$W$301,141)+1),"")</f>
        <v/>
      </c>
      <c r="Z142">
        <f>IF(INDEX(Stammdaten!$B$3:$B$303,142)="","",IFERROR(MATCH(INDEX(Stammdaten!$A$3:$A$303,142),Kategorien,0),999)*1000+141)</f>
        <v/>
      </c>
      <c r="AA142">
        <f>IFERROR(SMALL($Z$2:$Z$301,141),"")</f>
        <v/>
      </c>
      <c r="AB142">
        <f>IF($AA142="","",INDEX(Stammdaten!$A$3:$A$303,MOD($AA142,1000)+1)&amp;"")</f>
        <v/>
      </c>
      <c r="AC142">
        <f>IF($AA142="","",INDEX(Stammdaten!$B$3:$B$303,MOD($AA142,1000)+1))</f>
        <v/>
      </c>
    </row>
    <row r="143">
      <c r="T143">
        <f>IF(INDEX(Stammdaten!$I$3:$I$303,143)="","",142)</f>
        <v/>
      </c>
      <c r="U143">
        <f>IFERROR(INDEX(Stammdaten!$I$3:$I$303,SMALL($T$2:$T$301,142)+1),"")</f>
        <v/>
      </c>
      <c r="W143">
        <f>IF(INDEX(Stammdaten!$H$3:$H$303,143)="","",142)</f>
        <v/>
      </c>
      <c r="X143">
        <f>IFERROR(INDEX(Stammdaten!$H$3:$H$303,SMALL($W$2:$W$301,142)+1),"")</f>
        <v/>
      </c>
      <c r="Z143">
        <f>IF(INDEX(Stammdaten!$B$3:$B$303,143)="","",IFERROR(MATCH(INDEX(Stammdaten!$A$3:$A$303,143),Kategorien,0),999)*1000+142)</f>
        <v/>
      </c>
      <c r="AA143">
        <f>IFERROR(SMALL($Z$2:$Z$301,142),"")</f>
        <v/>
      </c>
      <c r="AB143">
        <f>IF($AA143="","",INDEX(Stammdaten!$A$3:$A$303,MOD($AA143,1000)+1)&amp;"")</f>
        <v/>
      </c>
      <c r="AC143">
        <f>IF($AA143="","",INDEX(Stammdaten!$B$3:$B$303,MOD($AA143,1000)+1))</f>
        <v/>
      </c>
    </row>
    <row r="144">
      <c r="T144">
        <f>IF(INDEX(Stammdaten!$I$3:$I$303,144)="","",143)</f>
        <v/>
      </c>
      <c r="U144">
        <f>IFERROR(INDEX(Stammdaten!$I$3:$I$303,SMALL($T$2:$T$301,143)+1),"")</f>
        <v/>
      </c>
      <c r="W144">
        <f>IF(INDEX(Stammdaten!$H$3:$H$303,144)="","",143)</f>
        <v/>
      </c>
      <c r="X144">
        <f>IFERROR(INDEX(Stammdaten!$H$3:$H$303,SMALL($W$2:$W$301,143)+1),"")</f>
        <v/>
      </c>
      <c r="Z144">
        <f>IF(INDEX(Stammdaten!$B$3:$B$303,144)="","",IFERROR(MATCH(INDEX(Stammdaten!$A$3:$A$303,144),Kategorien,0),999)*1000+143)</f>
        <v/>
      </c>
      <c r="AA144">
        <f>IFERROR(SMALL($Z$2:$Z$301,143),"")</f>
        <v/>
      </c>
      <c r="AB144">
        <f>IF($AA144="","",INDEX(Stammdaten!$A$3:$A$303,MOD($AA144,1000)+1)&amp;"")</f>
        <v/>
      </c>
      <c r="AC144">
        <f>IF($AA144="","",INDEX(Stammdaten!$B$3:$B$303,MOD($AA144,1000)+1))</f>
        <v/>
      </c>
    </row>
    <row r="145">
      <c r="T145">
        <f>IF(INDEX(Stammdaten!$I$3:$I$303,145)="","",144)</f>
        <v/>
      </c>
      <c r="U145">
        <f>IFERROR(INDEX(Stammdaten!$I$3:$I$303,SMALL($T$2:$T$301,144)+1),"")</f>
        <v/>
      </c>
      <c r="W145">
        <f>IF(INDEX(Stammdaten!$H$3:$H$303,145)="","",144)</f>
        <v/>
      </c>
      <c r="X145">
        <f>IFERROR(INDEX(Stammdaten!$H$3:$H$303,SMALL($W$2:$W$301,144)+1),"")</f>
        <v/>
      </c>
      <c r="Z145">
        <f>IF(INDEX(Stammdaten!$B$3:$B$303,145)="","",IFERROR(MATCH(INDEX(Stammdaten!$A$3:$A$303,145),Kategorien,0),999)*1000+144)</f>
        <v/>
      </c>
      <c r="AA145">
        <f>IFERROR(SMALL($Z$2:$Z$301,144),"")</f>
        <v/>
      </c>
      <c r="AB145">
        <f>IF($AA145="","",INDEX(Stammdaten!$A$3:$A$303,MOD($AA145,1000)+1)&amp;"")</f>
        <v/>
      </c>
      <c r="AC145">
        <f>IF($AA145="","",INDEX(Stammdaten!$B$3:$B$303,MOD($AA145,1000)+1))</f>
        <v/>
      </c>
    </row>
    <row r="146">
      <c r="T146">
        <f>IF(INDEX(Stammdaten!$I$3:$I$303,146)="","",145)</f>
        <v/>
      </c>
      <c r="U146">
        <f>IFERROR(INDEX(Stammdaten!$I$3:$I$303,SMALL($T$2:$T$301,145)+1),"")</f>
        <v/>
      </c>
      <c r="W146">
        <f>IF(INDEX(Stammdaten!$H$3:$H$303,146)="","",145)</f>
        <v/>
      </c>
      <c r="X146">
        <f>IFERROR(INDEX(Stammdaten!$H$3:$H$303,SMALL($W$2:$W$301,145)+1),"")</f>
        <v/>
      </c>
      <c r="Z146">
        <f>IF(INDEX(Stammdaten!$B$3:$B$303,146)="","",IFERROR(MATCH(INDEX(Stammdaten!$A$3:$A$303,146),Kategorien,0),999)*1000+145)</f>
        <v/>
      </c>
      <c r="AA146">
        <f>IFERROR(SMALL($Z$2:$Z$301,145),"")</f>
        <v/>
      </c>
      <c r="AB146">
        <f>IF($AA146="","",INDEX(Stammdaten!$A$3:$A$303,MOD($AA146,1000)+1)&amp;"")</f>
        <v/>
      </c>
      <c r="AC146">
        <f>IF($AA146="","",INDEX(Stammdaten!$B$3:$B$303,MOD($AA146,1000)+1))</f>
        <v/>
      </c>
    </row>
    <row r="147">
      <c r="T147">
        <f>IF(INDEX(Stammdaten!$I$3:$I$303,147)="","",146)</f>
        <v/>
      </c>
      <c r="U147">
        <f>IFERROR(INDEX(Stammdaten!$I$3:$I$303,SMALL($T$2:$T$301,146)+1),"")</f>
        <v/>
      </c>
      <c r="W147">
        <f>IF(INDEX(Stammdaten!$H$3:$H$303,147)="","",146)</f>
        <v/>
      </c>
      <c r="X147">
        <f>IFERROR(INDEX(Stammdaten!$H$3:$H$303,SMALL($W$2:$W$301,146)+1),"")</f>
        <v/>
      </c>
      <c r="Z147">
        <f>IF(INDEX(Stammdaten!$B$3:$B$303,147)="","",IFERROR(MATCH(INDEX(Stammdaten!$A$3:$A$303,147),Kategorien,0),999)*1000+146)</f>
        <v/>
      </c>
      <c r="AA147">
        <f>IFERROR(SMALL($Z$2:$Z$301,146),"")</f>
        <v/>
      </c>
      <c r="AB147">
        <f>IF($AA147="","",INDEX(Stammdaten!$A$3:$A$303,MOD($AA147,1000)+1)&amp;"")</f>
        <v/>
      </c>
      <c r="AC147">
        <f>IF($AA147="","",INDEX(Stammdaten!$B$3:$B$303,MOD($AA147,1000)+1))</f>
        <v/>
      </c>
    </row>
    <row r="148">
      <c r="T148">
        <f>IF(INDEX(Stammdaten!$I$3:$I$303,148)="","",147)</f>
        <v/>
      </c>
      <c r="U148">
        <f>IFERROR(INDEX(Stammdaten!$I$3:$I$303,SMALL($T$2:$T$301,147)+1),"")</f>
        <v/>
      </c>
      <c r="W148">
        <f>IF(INDEX(Stammdaten!$H$3:$H$303,148)="","",147)</f>
        <v/>
      </c>
      <c r="X148">
        <f>IFERROR(INDEX(Stammdaten!$H$3:$H$303,SMALL($W$2:$W$301,147)+1),"")</f>
        <v/>
      </c>
      <c r="Z148">
        <f>IF(INDEX(Stammdaten!$B$3:$B$303,148)="","",IFERROR(MATCH(INDEX(Stammdaten!$A$3:$A$303,148),Kategorien,0),999)*1000+147)</f>
        <v/>
      </c>
      <c r="AA148">
        <f>IFERROR(SMALL($Z$2:$Z$301,147),"")</f>
        <v/>
      </c>
      <c r="AB148">
        <f>IF($AA148="","",INDEX(Stammdaten!$A$3:$A$303,MOD($AA148,1000)+1)&amp;"")</f>
        <v/>
      </c>
      <c r="AC148">
        <f>IF($AA148="","",INDEX(Stammdaten!$B$3:$B$303,MOD($AA148,1000)+1))</f>
        <v/>
      </c>
    </row>
    <row r="149">
      <c r="T149">
        <f>IF(INDEX(Stammdaten!$I$3:$I$303,149)="","",148)</f>
        <v/>
      </c>
      <c r="U149">
        <f>IFERROR(INDEX(Stammdaten!$I$3:$I$303,SMALL($T$2:$T$301,148)+1),"")</f>
        <v/>
      </c>
      <c r="W149">
        <f>IF(INDEX(Stammdaten!$H$3:$H$303,149)="","",148)</f>
        <v/>
      </c>
      <c r="X149">
        <f>IFERROR(INDEX(Stammdaten!$H$3:$H$303,SMALL($W$2:$W$301,148)+1),"")</f>
        <v/>
      </c>
      <c r="Z149">
        <f>IF(INDEX(Stammdaten!$B$3:$B$303,149)="","",IFERROR(MATCH(INDEX(Stammdaten!$A$3:$A$303,149),Kategorien,0),999)*1000+148)</f>
        <v/>
      </c>
      <c r="AA149">
        <f>IFERROR(SMALL($Z$2:$Z$301,148),"")</f>
        <v/>
      </c>
      <c r="AB149">
        <f>IF($AA149="","",INDEX(Stammdaten!$A$3:$A$303,MOD($AA149,1000)+1)&amp;"")</f>
        <v/>
      </c>
      <c r="AC149">
        <f>IF($AA149="","",INDEX(Stammdaten!$B$3:$B$303,MOD($AA149,1000)+1))</f>
        <v/>
      </c>
    </row>
    <row r="150">
      <c r="T150">
        <f>IF(INDEX(Stammdaten!$I$3:$I$303,150)="","",149)</f>
        <v/>
      </c>
      <c r="U150">
        <f>IFERROR(INDEX(Stammdaten!$I$3:$I$303,SMALL($T$2:$T$301,149)+1),"")</f>
        <v/>
      </c>
      <c r="W150">
        <f>IF(INDEX(Stammdaten!$H$3:$H$303,150)="","",149)</f>
        <v/>
      </c>
      <c r="X150">
        <f>IFERROR(INDEX(Stammdaten!$H$3:$H$303,SMALL($W$2:$W$301,149)+1),"")</f>
        <v/>
      </c>
      <c r="Z150">
        <f>IF(INDEX(Stammdaten!$B$3:$B$303,150)="","",IFERROR(MATCH(INDEX(Stammdaten!$A$3:$A$303,150),Kategorien,0),999)*1000+149)</f>
        <v/>
      </c>
      <c r="AA150">
        <f>IFERROR(SMALL($Z$2:$Z$301,149),"")</f>
        <v/>
      </c>
      <c r="AB150">
        <f>IF($AA150="","",INDEX(Stammdaten!$A$3:$A$303,MOD($AA150,1000)+1)&amp;"")</f>
        <v/>
      </c>
      <c r="AC150">
        <f>IF($AA150="","",INDEX(Stammdaten!$B$3:$B$303,MOD($AA150,1000)+1))</f>
        <v/>
      </c>
    </row>
    <row r="151">
      <c r="T151">
        <f>IF(INDEX(Stammdaten!$I$3:$I$303,151)="","",150)</f>
        <v/>
      </c>
      <c r="U151">
        <f>IFERROR(INDEX(Stammdaten!$I$3:$I$303,SMALL($T$2:$T$301,150)+1),"")</f>
        <v/>
      </c>
      <c r="W151">
        <f>IF(INDEX(Stammdaten!$H$3:$H$303,151)="","",150)</f>
        <v/>
      </c>
      <c r="X151">
        <f>IFERROR(INDEX(Stammdaten!$H$3:$H$303,SMALL($W$2:$W$301,150)+1),"")</f>
        <v/>
      </c>
      <c r="Z151">
        <f>IF(INDEX(Stammdaten!$B$3:$B$303,151)="","",IFERROR(MATCH(INDEX(Stammdaten!$A$3:$A$303,151),Kategorien,0),999)*1000+150)</f>
        <v/>
      </c>
      <c r="AA151">
        <f>IFERROR(SMALL($Z$2:$Z$301,150),"")</f>
        <v/>
      </c>
      <c r="AB151">
        <f>IF($AA151="","",INDEX(Stammdaten!$A$3:$A$303,MOD($AA151,1000)+1)&amp;"")</f>
        <v/>
      </c>
      <c r="AC151">
        <f>IF($AA151="","",INDEX(Stammdaten!$B$3:$B$303,MOD($AA151,1000)+1))</f>
        <v/>
      </c>
    </row>
    <row r="152">
      <c r="T152">
        <f>IF(INDEX(Stammdaten!$I$3:$I$303,152)="","",151)</f>
        <v/>
      </c>
      <c r="U152">
        <f>IFERROR(INDEX(Stammdaten!$I$3:$I$303,SMALL($T$2:$T$301,151)+1),"")</f>
        <v/>
      </c>
      <c r="W152">
        <f>IF(INDEX(Stammdaten!$H$3:$H$303,152)="","",151)</f>
        <v/>
      </c>
      <c r="X152">
        <f>IFERROR(INDEX(Stammdaten!$H$3:$H$303,SMALL($W$2:$W$301,151)+1),"")</f>
        <v/>
      </c>
      <c r="Z152">
        <f>IF(INDEX(Stammdaten!$B$3:$B$303,152)="","",IFERROR(MATCH(INDEX(Stammdaten!$A$3:$A$303,152),Kategorien,0),999)*1000+151)</f>
        <v/>
      </c>
      <c r="AA152">
        <f>IFERROR(SMALL($Z$2:$Z$301,151),"")</f>
        <v/>
      </c>
      <c r="AB152">
        <f>IF($AA152="","",INDEX(Stammdaten!$A$3:$A$303,MOD($AA152,1000)+1)&amp;"")</f>
        <v/>
      </c>
      <c r="AC152">
        <f>IF($AA152="","",INDEX(Stammdaten!$B$3:$B$303,MOD($AA152,1000)+1))</f>
        <v/>
      </c>
    </row>
    <row r="153">
      <c r="T153">
        <f>IF(INDEX(Stammdaten!$I$3:$I$303,153)="","",152)</f>
        <v/>
      </c>
      <c r="U153">
        <f>IFERROR(INDEX(Stammdaten!$I$3:$I$303,SMALL($T$2:$T$301,152)+1),"")</f>
        <v/>
      </c>
      <c r="W153">
        <f>IF(INDEX(Stammdaten!$H$3:$H$303,153)="","",152)</f>
        <v/>
      </c>
      <c r="X153">
        <f>IFERROR(INDEX(Stammdaten!$H$3:$H$303,SMALL($W$2:$W$301,152)+1),"")</f>
        <v/>
      </c>
      <c r="Z153">
        <f>IF(INDEX(Stammdaten!$B$3:$B$303,153)="","",IFERROR(MATCH(INDEX(Stammdaten!$A$3:$A$303,153),Kategorien,0),999)*1000+152)</f>
        <v/>
      </c>
      <c r="AA153">
        <f>IFERROR(SMALL($Z$2:$Z$301,152),"")</f>
        <v/>
      </c>
      <c r="AB153">
        <f>IF($AA153="","",INDEX(Stammdaten!$A$3:$A$303,MOD($AA153,1000)+1)&amp;"")</f>
        <v/>
      </c>
      <c r="AC153">
        <f>IF($AA153="","",INDEX(Stammdaten!$B$3:$B$303,MOD($AA153,1000)+1))</f>
        <v/>
      </c>
    </row>
    <row r="154">
      <c r="T154">
        <f>IF(INDEX(Stammdaten!$I$3:$I$303,154)="","",153)</f>
        <v/>
      </c>
      <c r="U154">
        <f>IFERROR(INDEX(Stammdaten!$I$3:$I$303,SMALL($T$2:$T$301,153)+1),"")</f>
        <v/>
      </c>
      <c r="W154">
        <f>IF(INDEX(Stammdaten!$H$3:$H$303,154)="","",153)</f>
        <v/>
      </c>
      <c r="X154">
        <f>IFERROR(INDEX(Stammdaten!$H$3:$H$303,SMALL($W$2:$W$301,153)+1),"")</f>
        <v/>
      </c>
      <c r="Z154">
        <f>IF(INDEX(Stammdaten!$B$3:$B$303,154)="","",IFERROR(MATCH(INDEX(Stammdaten!$A$3:$A$303,154),Kategorien,0),999)*1000+153)</f>
        <v/>
      </c>
      <c r="AA154">
        <f>IFERROR(SMALL($Z$2:$Z$301,153),"")</f>
        <v/>
      </c>
      <c r="AB154">
        <f>IF($AA154="","",INDEX(Stammdaten!$A$3:$A$303,MOD($AA154,1000)+1)&amp;"")</f>
        <v/>
      </c>
      <c r="AC154">
        <f>IF($AA154="","",INDEX(Stammdaten!$B$3:$B$303,MOD($AA154,1000)+1))</f>
        <v/>
      </c>
    </row>
    <row r="155">
      <c r="T155">
        <f>IF(INDEX(Stammdaten!$I$3:$I$303,155)="","",154)</f>
        <v/>
      </c>
      <c r="U155">
        <f>IFERROR(INDEX(Stammdaten!$I$3:$I$303,SMALL($T$2:$T$301,154)+1),"")</f>
        <v/>
      </c>
      <c r="W155">
        <f>IF(INDEX(Stammdaten!$H$3:$H$303,155)="","",154)</f>
        <v/>
      </c>
      <c r="X155">
        <f>IFERROR(INDEX(Stammdaten!$H$3:$H$303,SMALL($W$2:$W$301,154)+1),"")</f>
        <v/>
      </c>
      <c r="Z155">
        <f>IF(INDEX(Stammdaten!$B$3:$B$303,155)="","",IFERROR(MATCH(INDEX(Stammdaten!$A$3:$A$303,155),Kategorien,0),999)*1000+154)</f>
        <v/>
      </c>
      <c r="AA155">
        <f>IFERROR(SMALL($Z$2:$Z$301,154),"")</f>
        <v/>
      </c>
      <c r="AB155">
        <f>IF($AA155="","",INDEX(Stammdaten!$A$3:$A$303,MOD($AA155,1000)+1)&amp;"")</f>
        <v/>
      </c>
      <c r="AC155">
        <f>IF($AA155="","",INDEX(Stammdaten!$B$3:$B$303,MOD($AA155,1000)+1))</f>
        <v/>
      </c>
    </row>
    <row r="156">
      <c r="T156">
        <f>IF(INDEX(Stammdaten!$I$3:$I$303,156)="","",155)</f>
        <v/>
      </c>
      <c r="U156">
        <f>IFERROR(INDEX(Stammdaten!$I$3:$I$303,SMALL($T$2:$T$301,155)+1),"")</f>
        <v/>
      </c>
      <c r="W156">
        <f>IF(INDEX(Stammdaten!$H$3:$H$303,156)="","",155)</f>
        <v/>
      </c>
      <c r="X156">
        <f>IFERROR(INDEX(Stammdaten!$H$3:$H$303,SMALL($W$2:$W$301,155)+1),"")</f>
        <v/>
      </c>
      <c r="Z156">
        <f>IF(INDEX(Stammdaten!$B$3:$B$303,156)="","",IFERROR(MATCH(INDEX(Stammdaten!$A$3:$A$303,156),Kategorien,0),999)*1000+155)</f>
        <v/>
      </c>
      <c r="AA156">
        <f>IFERROR(SMALL($Z$2:$Z$301,155),"")</f>
        <v/>
      </c>
      <c r="AB156">
        <f>IF($AA156="","",INDEX(Stammdaten!$A$3:$A$303,MOD($AA156,1000)+1)&amp;"")</f>
        <v/>
      </c>
      <c r="AC156">
        <f>IF($AA156="","",INDEX(Stammdaten!$B$3:$B$303,MOD($AA156,1000)+1))</f>
        <v/>
      </c>
    </row>
    <row r="157">
      <c r="T157">
        <f>IF(INDEX(Stammdaten!$I$3:$I$303,157)="","",156)</f>
        <v/>
      </c>
      <c r="U157">
        <f>IFERROR(INDEX(Stammdaten!$I$3:$I$303,SMALL($T$2:$T$301,156)+1),"")</f>
        <v/>
      </c>
      <c r="W157">
        <f>IF(INDEX(Stammdaten!$H$3:$H$303,157)="","",156)</f>
        <v/>
      </c>
      <c r="X157">
        <f>IFERROR(INDEX(Stammdaten!$H$3:$H$303,SMALL($W$2:$W$301,156)+1),"")</f>
        <v/>
      </c>
      <c r="Z157">
        <f>IF(INDEX(Stammdaten!$B$3:$B$303,157)="","",IFERROR(MATCH(INDEX(Stammdaten!$A$3:$A$303,157),Kategorien,0),999)*1000+156)</f>
        <v/>
      </c>
      <c r="AA157">
        <f>IFERROR(SMALL($Z$2:$Z$301,156),"")</f>
        <v/>
      </c>
      <c r="AB157">
        <f>IF($AA157="","",INDEX(Stammdaten!$A$3:$A$303,MOD($AA157,1000)+1)&amp;"")</f>
        <v/>
      </c>
      <c r="AC157">
        <f>IF($AA157="","",INDEX(Stammdaten!$B$3:$B$303,MOD($AA157,1000)+1))</f>
        <v/>
      </c>
    </row>
    <row r="158">
      <c r="T158">
        <f>IF(INDEX(Stammdaten!$I$3:$I$303,158)="","",157)</f>
        <v/>
      </c>
      <c r="U158">
        <f>IFERROR(INDEX(Stammdaten!$I$3:$I$303,SMALL($T$2:$T$301,157)+1),"")</f>
        <v/>
      </c>
      <c r="W158">
        <f>IF(INDEX(Stammdaten!$H$3:$H$303,158)="","",157)</f>
        <v/>
      </c>
      <c r="X158">
        <f>IFERROR(INDEX(Stammdaten!$H$3:$H$303,SMALL($W$2:$W$301,157)+1),"")</f>
        <v/>
      </c>
      <c r="Z158">
        <f>IF(INDEX(Stammdaten!$B$3:$B$303,158)="","",IFERROR(MATCH(INDEX(Stammdaten!$A$3:$A$303,158),Kategorien,0),999)*1000+157)</f>
        <v/>
      </c>
      <c r="AA158">
        <f>IFERROR(SMALL($Z$2:$Z$301,157),"")</f>
        <v/>
      </c>
      <c r="AB158">
        <f>IF($AA158="","",INDEX(Stammdaten!$A$3:$A$303,MOD($AA158,1000)+1)&amp;"")</f>
        <v/>
      </c>
      <c r="AC158">
        <f>IF($AA158="","",INDEX(Stammdaten!$B$3:$B$303,MOD($AA158,1000)+1))</f>
        <v/>
      </c>
    </row>
    <row r="159">
      <c r="T159">
        <f>IF(INDEX(Stammdaten!$I$3:$I$303,159)="","",158)</f>
        <v/>
      </c>
      <c r="U159">
        <f>IFERROR(INDEX(Stammdaten!$I$3:$I$303,SMALL($T$2:$T$301,158)+1),"")</f>
        <v/>
      </c>
      <c r="W159">
        <f>IF(INDEX(Stammdaten!$H$3:$H$303,159)="","",158)</f>
        <v/>
      </c>
      <c r="X159">
        <f>IFERROR(INDEX(Stammdaten!$H$3:$H$303,SMALL($W$2:$W$301,158)+1),"")</f>
        <v/>
      </c>
      <c r="Z159">
        <f>IF(INDEX(Stammdaten!$B$3:$B$303,159)="","",IFERROR(MATCH(INDEX(Stammdaten!$A$3:$A$303,159),Kategorien,0),999)*1000+158)</f>
        <v/>
      </c>
      <c r="AA159">
        <f>IFERROR(SMALL($Z$2:$Z$301,158),"")</f>
        <v/>
      </c>
      <c r="AB159">
        <f>IF($AA159="","",INDEX(Stammdaten!$A$3:$A$303,MOD($AA159,1000)+1)&amp;"")</f>
        <v/>
      </c>
      <c r="AC159">
        <f>IF($AA159="","",INDEX(Stammdaten!$B$3:$B$303,MOD($AA159,1000)+1))</f>
        <v/>
      </c>
    </row>
    <row r="160">
      <c r="T160">
        <f>IF(INDEX(Stammdaten!$I$3:$I$303,160)="","",159)</f>
        <v/>
      </c>
      <c r="U160">
        <f>IFERROR(INDEX(Stammdaten!$I$3:$I$303,SMALL($T$2:$T$301,159)+1),"")</f>
        <v/>
      </c>
      <c r="W160">
        <f>IF(INDEX(Stammdaten!$H$3:$H$303,160)="","",159)</f>
        <v/>
      </c>
      <c r="X160">
        <f>IFERROR(INDEX(Stammdaten!$H$3:$H$303,SMALL($W$2:$W$301,159)+1),"")</f>
        <v/>
      </c>
      <c r="Z160">
        <f>IF(INDEX(Stammdaten!$B$3:$B$303,160)="","",IFERROR(MATCH(INDEX(Stammdaten!$A$3:$A$303,160),Kategorien,0),999)*1000+159)</f>
        <v/>
      </c>
      <c r="AA160">
        <f>IFERROR(SMALL($Z$2:$Z$301,159),"")</f>
        <v/>
      </c>
      <c r="AB160">
        <f>IF($AA160="","",INDEX(Stammdaten!$A$3:$A$303,MOD($AA160,1000)+1)&amp;"")</f>
        <v/>
      </c>
      <c r="AC160">
        <f>IF($AA160="","",INDEX(Stammdaten!$B$3:$B$303,MOD($AA160,1000)+1))</f>
        <v/>
      </c>
    </row>
    <row r="161">
      <c r="T161">
        <f>IF(INDEX(Stammdaten!$I$3:$I$303,161)="","",160)</f>
        <v/>
      </c>
      <c r="U161">
        <f>IFERROR(INDEX(Stammdaten!$I$3:$I$303,SMALL($T$2:$T$301,160)+1),"")</f>
        <v/>
      </c>
      <c r="W161">
        <f>IF(INDEX(Stammdaten!$H$3:$H$303,161)="","",160)</f>
        <v/>
      </c>
      <c r="X161">
        <f>IFERROR(INDEX(Stammdaten!$H$3:$H$303,SMALL($W$2:$W$301,160)+1),"")</f>
        <v/>
      </c>
      <c r="Z161">
        <f>IF(INDEX(Stammdaten!$B$3:$B$303,161)="","",IFERROR(MATCH(INDEX(Stammdaten!$A$3:$A$303,161),Kategorien,0),999)*1000+160)</f>
        <v/>
      </c>
      <c r="AA161">
        <f>IFERROR(SMALL($Z$2:$Z$301,160),"")</f>
        <v/>
      </c>
      <c r="AB161">
        <f>IF($AA161="","",INDEX(Stammdaten!$A$3:$A$303,MOD($AA161,1000)+1)&amp;"")</f>
        <v/>
      </c>
      <c r="AC161">
        <f>IF($AA161="","",INDEX(Stammdaten!$B$3:$B$303,MOD($AA161,1000)+1))</f>
        <v/>
      </c>
    </row>
    <row r="162">
      <c r="T162">
        <f>IF(INDEX(Stammdaten!$I$3:$I$303,162)="","",161)</f>
        <v/>
      </c>
      <c r="U162">
        <f>IFERROR(INDEX(Stammdaten!$I$3:$I$303,SMALL($T$2:$T$301,161)+1),"")</f>
        <v/>
      </c>
      <c r="W162">
        <f>IF(INDEX(Stammdaten!$H$3:$H$303,162)="","",161)</f>
        <v/>
      </c>
      <c r="X162">
        <f>IFERROR(INDEX(Stammdaten!$H$3:$H$303,SMALL($W$2:$W$301,161)+1),"")</f>
        <v/>
      </c>
      <c r="Z162">
        <f>IF(INDEX(Stammdaten!$B$3:$B$303,162)="","",IFERROR(MATCH(INDEX(Stammdaten!$A$3:$A$303,162),Kategorien,0),999)*1000+161)</f>
        <v/>
      </c>
      <c r="AA162">
        <f>IFERROR(SMALL($Z$2:$Z$301,161),"")</f>
        <v/>
      </c>
      <c r="AB162">
        <f>IF($AA162="","",INDEX(Stammdaten!$A$3:$A$303,MOD($AA162,1000)+1)&amp;"")</f>
        <v/>
      </c>
      <c r="AC162">
        <f>IF($AA162="","",INDEX(Stammdaten!$B$3:$B$303,MOD($AA162,1000)+1))</f>
        <v/>
      </c>
    </row>
    <row r="163">
      <c r="T163">
        <f>IF(INDEX(Stammdaten!$I$3:$I$303,163)="","",162)</f>
        <v/>
      </c>
      <c r="U163">
        <f>IFERROR(INDEX(Stammdaten!$I$3:$I$303,SMALL($T$2:$T$301,162)+1),"")</f>
        <v/>
      </c>
      <c r="W163">
        <f>IF(INDEX(Stammdaten!$H$3:$H$303,163)="","",162)</f>
        <v/>
      </c>
      <c r="X163">
        <f>IFERROR(INDEX(Stammdaten!$H$3:$H$303,SMALL($W$2:$W$301,162)+1),"")</f>
        <v/>
      </c>
      <c r="Z163">
        <f>IF(INDEX(Stammdaten!$B$3:$B$303,163)="","",IFERROR(MATCH(INDEX(Stammdaten!$A$3:$A$303,163),Kategorien,0),999)*1000+162)</f>
        <v/>
      </c>
      <c r="AA163">
        <f>IFERROR(SMALL($Z$2:$Z$301,162),"")</f>
        <v/>
      </c>
      <c r="AB163">
        <f>IF($AA163="","",INDEX(Stammdaten!$A$3:$A$303,MOD($AA163,1000)+1)&amp;"")</f>
        <v/>
      </c>
      <c r="AC163">
        <f>IF($AA163="","",INDEX(Stammdaten!$B$3:$B$303,MOD($AA163,1000)+1))</f>
        <v/>
      </c>
    </row>
    <row r="164">
      <c r="T164">
        <f>IF(INDEX(Stammdaten!$I$3:$I$303,164)="","",163)</f>
        <v/>
      </c>
      <c r="U164">
        <f>IFERROR(INDEX(Stammdaten!$I$3:$I$303,SMALL($T$2:$T$301,163)+1),"")</f>
        <v/>
      </c>
      <c r="W164">
        <f>IF(INDEX(Stammdaten!$H$3:$H$303,164)="","",163)</f>
        <v/>
      </c>
      <c r="X164">
        <f>IFERROR(INDEX(Stammdaten!$H$3:$H$303,SMALL($W$2:$W$301,163)+1),"")</f>
        <v/>
      </c>
      <c r="Z164">
        <f>IF(INDEX(Stammdaten!$B$3:$B$303,164)="","",IFERROR(MATCH(INDEX(Stammdaten!$A$3:$A$303,164),Kategorien,0),999)*1000+163)</f>
        <v/>
      </c>
      <c r="AA164">
        <f>IFERROR(SMALL($Z$2:$Z$301,163),"")</f>
        <v/>
      </c>
      <c r="AB164">
        <f>IF($AA164="","",INDEX(Stammdaten!$A$3:$A$303,MOD($AA164,1000)+1)&amp;"")</f>
        <v/>
      </c>
      <c r="AC164">
        <f>IF($AA164="","",INDEX(Stammdaten!$B$3:$B$303,MOD($AA164,1000)+1))</f>
        <v/>
      </c>
    </row>
    <row r="165">
      <c r="T165">
        <f>IF(INDEX(Stammdaten!$I$3:$I$303,165)="","",164)</f>
        <v/>
      </c>
      <c r="U165">
        <f>IFERROR(INDEX(Stammdaten!$I$3:$I$303,SMALL($T$2:$T$301,164)+1),"")</f>
        <v/>
      </c>
      <c r="W165">
        <f>IF(INDEX(Stammdaten!$H$3:$H$303,165)="","",164)</f>
        <v/>
      </c>
      <c r="X165">
        <f>IFERROR(INDEX(Stammdaten!$H$3:$H$303,SMALL($W$2:$W$301,164)+1),"")</f>
        <v/>
      </c>
      <c r="Z165">
        <f>IF(INDEX(Stammdaten!$B$3:$B$303,165)="","",IFERROR(MATCH(INDEX(Stammdaten!$A$3:$A$303,165),Kategorien,0),999)*1000+164)</f>
        <v/>
      </c>
      <c r="AA165">
        <f>IFERROR(SMALL($Z$2:$Z$301,164),"")</f>
        <v/>
      </c>
      <c r="AB165">
        <f>IF($AA165="","",INDEX(Stammdaten!$A$3:$A$303,MOD($AA165,1000)+1)&amp;"")</f>
        <v/>
      </c>
      <c r="AC165">
        <f>IF($AA165="","",INDEX(Stammdaten!$B$3:$B$303,MOD($AA165,1000)+1))</f>
        <v/>
      </c>
    </row>
    <row r="166">
      <c r="T166">
        <f>IF(INDEX(Stammdaten!$I$3:$I$303,166)="","",165)</f>
        <v/>
      </c>
      <c r="U166">
        <f>IFERROR(INDEX(Stammdaten!$I$3:$I$303,SMALL($T$2:$T$301,165)+1),"")</f>
        <v/>
      </c>
      <c r="W166">
        <f>IF(INDEX(Stammdaten!$H$3:$H$303,166)="","",165)</f>
        <v/>
      </c>
      <c r="X166">
        <f>IFERROR(INDEX(Stammdaten!$H$3:$H$303,SMALL($W$2:$W$301,165)+1),"")</f>
        <v/>
      </c>
      <c r="Z166">
        <f>IF(INDEX(Stammdaten!$B$3:$B$303,166)="","",IFERROR(MATCH(INDEX(Stammdaten!$A$3:$A$303,166),Kategorien,0),999)*1000+165)</f>
        <v/>
      </c>
      <c r="AA166">
        <f>IFERROR(SMALL($Z$2:$Z$301,165),"")</f>
        <v/>
      </c>
      <c r="AB166">
        <f>IF($AA166="","",INDEX(Stammdaten!$A$3:$A$303,MOD($AA166,1000)+1)&amp;"")</f>
        <v/>
      </c>
      <c r="AC166">
        <f>IF($AA166="","",INDEX(Stammdaten!$B$3:$B$303,MOD($AA166,1000)+1))</f>
        <v/>
      </c>
    </row>
    <row r="167">
      <c r="T167">
        <f>IF(INDEX(Stammdaten!$I$3:$I$303,167)="","",166)</f>
        <v/>
      </c>
      <c r="U167">
        <f>IFERROR(INDEX(Stammdaten!$I$3:$I$303,SMALL($T$2:$T$301,166)+1),"")</f>
        <v/>
      </c>
      <c r="W167">
        <f>IF(INDEX(Stammdaten!$H$3:$H$303,167)="","",166)</f>
        <v/>
      </c>
      <c r="X167">
        <f>IFERROR(INDEX(Stammdaten!$H$3:$H$303,SMALL($W$2:$W$301,166)+1),"")</f>
        <v/>
      </c>
      <c r="Z167">
        <f>IF(INDEX(Stammdaten!$B$3:$B$303,167)="","",IFERROR(MATCH(INDEX(Stammdaten!$A$3:$A$303,167),Kategorien,0),999)*1000+166)</f>
        <v/>
      </c>
      <c r="AA167">
        <f>IFERROR(SMALL($Z$2:$Z$301,166),"")</f>
        <v/>
      </c>
      <c r="AB167">
        <f>IF($AA167="","",INDEX(Stammdaten!$A$3:$A$303,MOD($AA167,1000)+1)&amp;"")</f>
        <v/>
      </c>
      <c r="AC167">
        <f>IF($AA167="","",INDEX(Stammdaten!$B$3:$B$303,MOD($AA167,1000)+1))</f>
        <v/>
      </c>
    </row>
    <row r="168">
      <c r="T168">
        <f>IF(INDEX(Stammdaten!$I$3:$I$303,168)="","",167)</f>
        <v/>
      </c>
      <c r="U168">
        <f>IFERROR(INDEX(Stammdaten!$I$3:$I$303,SMALL($T$2:$T$301,167)+1),"")</f>
        <v/>
      </c>
      <c r="W168">
        <f>IF(INDEX(Stammdaten!$H$3:$H$303,168)="","",167)</f>
        <v/>
      </c>
      <c r="X168">
        <f>IFERROR(INDEX(Stammdaten!$H$3:$H$303,SMALL($W$2:$W$301,167)+1),"")</f>
        <v/>
      </c>
      <c r="Z168">
        <f>IF(INDEX(Stammdaten!$B$3:$B$303,168)="","",IFERROR(MATCH(INDEX(Stammdaten!$A$3:$A$303,168),Kategorien,0),999)*1000+167)</f>
        <v/>
      </c>
      <c r="AA168">
        <f>IFERROR(SMALL($Z$2:$Z$301,167),"")</f>
        <v/>
      </c>
      <c r="AB168">
        <f>IF($AA168="","",INDEX(Stammdaten!$A$3:$A$303,MOD($AA168,1000)+1)&amp;"")</f>
        <v/>
      </c>
      <c r="AC168">
        <f>IF($AA168="","",INDEX(Stammdaten!$B$3:$B$303,MOD($AA168,1000)+1))</f>
        <v/>
      </c>
    </row>
    <row r="169">
      <c r="T169">
        <f>IF(INDEX(Stammdaten!$I$3:$I$303,169)="","",168)</f>
        <v/>
      </c>
      <c r="U169">
        <f>IFERROR(INDEX(Stammdaten!$I$3:$I$303,SMALL($T$2:$T$301,168)+1),"")</f>
        <v/>
      </c>
      <c r="W169">
        <f>IF(INDEX(Stammdaten!$H$3:$H$303,169)="","",168)</f>
        <v/>
      </c>
      <c r="X169">
        <f>IFERROR(INDEX(Stammdaten!$H$3:$H$303,SMALL($W$2:$W$301,168)+1),"")</f>
        <v/>
      </c>
      <c r="Z169">
        <f>IF(INDEX(Stammdaten!$B$3:$B$303,169)="","",IFERROR(MATCH(INDEX(Stammdaten!$A$3:$A$303,169),Kategorien,0),999)*1000+168)</f>
        <v/>
      </c>
      <c r="AA169">
        <f>IFERROR(SMALL($Z$2:$Z$301,168),"")</f>
        <v/>
      </c>
      <c r="AB169">
        <f>IF($AA169="","",INDEX(Stammdaten!$A$3:$A$303,MOD($AA169,1000)+1)&amp;"")</f>
        <v/>
      </c>
      <c r="AC169">
        <f>IF($AA169="","",INDEX(Stammdaten!$B$3:$B$303,MOD($AA169,1000)+1))</f>
        <v/>
      </c>
    </row>
    <row r="170">
      <c r="T170">
        <f>IF(INDEX(Stammdaten!$I$3:$I$303,170)="","",169)</f>
        <v/>
      </c>
      <c r="U170">
        <f>IFERROR(INDEX(Stammdaten!$I$3:$I$303,SMALL($T$2:$T$301,169)+1),"")</f>
        <v/>
      </c>
      <c r="W170">
        <f>IF(INDEX(Stammdaten!$H$3:$H$303,170)="","",169)</f>
        <v/>
      </c>
      <c r="X170">
        <f>IFERROR(INDEX(Stammdaten!$H$3:$H$303,SMALL($W$2:$W$301,169)+1),"")</f>
        <v/>
      </c>
      <c r="Z170">
        <f>IF(INDEX(Stammdaten!$B$3:$B$303,170)="","",IFERROR(MATCH(INDEX(Stammdaten!$A$3:$A$303,170),Kategorien,0),999)*1000+169)</f>
        <v/>
      </c>
      <c r="AA170">
        <f>IFERROR(SMALL($Z$2:$Z$301,169),"")</f>
        <v/>
      </c>
      <c r="AB170">
        <f>IF($AA170="","",INDEX(Stammdaten!$A$3:$A$303,MOD($AA170,1000)+1)&amp;"")</f>
        <v/>
      </c>
      <c r="AC170">
        <f>IF($AA170="","",INDEX(Stammdaten!$B$3:$B$303,MOD($AA170,1000)+1))</f>
        <v/>
      </c>
    </row>
    <row r="171">
      <c r="T171">
        <f>IF(INDEX(Stammdaten!$I$3:$I$303,171)="","",170)</f>
        <v/>
      </c>
      <c r="U171">
        <f>IFERROR(INDEX(Stammdaten!$I$3:$I$303,SMALL($T$2:$T$301,170)+1),"")</f>
        <v/>
      </c>
      <c r="W171">
        <f>IF(INDEX(Stammdaten!$H$3:$H$303,171)="","",170)</f>
        <v/>
      </c>
      <c r="X171">
        <f>IFERROR(INDEX(Stammdaten!$H$3:$H$303,SMALL($W$2:$W$301,170)+1),"")</f>
        <v/>
      </c>
      <c r="Z171">
        <f>IF(INDEX(Stammdaten!$B$3:$B$303,171)="","",IFERROR(MATCH(INDEX(Stammdaten!$A$3:$A$303,171),Kategorien,0),999)*1000+170)</f>
        <v/>
      </c>
      <c r="AA171">
        <f>IFERROR(SMALL($Z$2:$Z$301,170),"")</f>
        <v/>
      </c>
      <c r="AB171">
        <f>IF($AA171="","",INDEX(Stammdaten!$A$3:$A$303,MOD($AA171,1000)+1)&amp;"")</f>
        <v/>
      </c>
      <c r="AC171">
        <f>IF($AA171="","",INDEX(Stammdaten!$B$3:$B$303,MOD($AA171,1000)+1))</f>
        <v/>
      </c>
    </row>
    <row r="172">
      <c r="T172">
        <f>IF(INDEX(Stammdaten!$I$3:$I$303,172)="","",171)</f>
        <v/>
      </c>
      <c r="U172">
        <f>IFERROR(INDEX(Stammdaten!$I$3:$I$303,SMALL($T$2:$T$301,171)+1),"")</f>
        <v/>
      </c>
      <c r="W172">
        <f>IF(INDEX(Stammdaten!$H$3:$H$303,172)="","",171)</f>
        <v/>
      </c>
      <c r="X172">
        <f>IFERROR(INDEX(Stammdaten!$H$3:$H$303,SMALL($W$2:$W$301,171)+1),"")</f>
        <v/>
      </c>
      <c r="Z172">
        <f>IF(INDEX(Stammdaten!$B$3:$B$303,172)="","",IFERROR(MATCH(INDEX(Stammdaten!$A$3:$A$303,172),Kategorien,0),999)*1000+171)</f>
        <v/>
      </c>
      <c r="AA172">
        <f>IFERROR(SMALL($Z$2:$Z$301,171),"")</f>
        <v/>
      </c>
      <c r="AB172">
        <f>IF($AA172="","",INDEX(Stammdaten!$A$3:$A$303,MOD($AA172,1000)+1)&amp;"")</f>
        <v/>
      </c>
      <c r="AC172">
        <f>IF($AA172="","",INDEX(Stammdaten!$B$3:$B$303,MOD($AA172,1000)+1))</f>
        <v/>
      </c>
    </row>
    <row r="173">
      <c r="T173">
        <f>IF(INDEX(Stammdaten!$I$3:$I$303,173)="","",172)</f>
        <v/>
      </c>
      <c r="U173">
        <f>IFERROR(INDEX(Stammdaten!$I$3:$I$303,SMALL($T$2:$T$301,172)+1),"")</f>
        <v/>
      </c>
      <c r="W173">
        <f>IF(INDEX(Stammdaten!$H$3:$H$303,173)="","",172)</f>
        <v/>
      </c>
      <c r="X173">
        <f>IFERROR(INDEX(Stammdaten!$H$3:$H$303,SMALL($W$2:$W$301,172)+1),"")</f>
        <v/>
      </c>
      <c r="Z173">
        <f>IF(INDEX(Stammdaten!$B$3:$B$303,173)="","",IFERROR(MATCH(INDEX(Stammdaten!$A$3:$A$303,173),Kategorien,0),999)*1000+172)</f>
        <v/>
      </c>
      <c r="AA173">
        <f>IFERROR(SMALL($Z$2:$Z$301,172),"")</f>
        <v/>
      </c>
      <c r="AB173">
        <f>IF($AA173="","",INDEX(Stammdaten!$A$3:$A$303,MOD($AA173,1000)+1)&amp;"")</f>
        <v/>
      </c>
      <c r="AC173">
        <f>IF($AA173="","",INDEX(Stammdaten!$B$3:$B$303,MOD($AA173,1000)+1))</f>
        <v/>
      </c>
    </row>
    <row r="174">
      <c r="T174">
        <f>IF(INDEX(Stammdaten!$I$3:$I$303,174)="","",173)</f>
        <v/>
      </c>
      <c r="U174">
        <f>IFERROR(INDEX(Stammdaten!$I$3:$I$303,SMALL($T$2:$T$301,173)+1),"")</f>
        <v/>
      </c>
      <c r="W174">
        <f>IF(INDEX(Stammdaten!$H$3:$H$303,174)="","",173)</f>
        <v/>
      </c>
      <c r="X174">
        <f>IFERROR(INDEX(Stammdaten!$H$3:$H$303,SMALL($W$2:$W$301,173)+1),"")</f>
        <v/>
      </c>
      <c r="Z174">
        <f>IF(INDEX(Stammdaten!$B$3:$B$303,174)="","",IFERROR(MATCH(INDEX(Stammdaten!$A$3:$A$303,174),Kategorien,0),999)*1000+173)</f>
        <v/>
      </c>
      <c r="AA174">
        <f>IFERROR(SMALL($Z$2:$Z$301,173),"")</f>
        <v/>
      </c>
      <c r="AB174">
        <f>IF($AA174="","",INDEX(Stammdaten!$A$3:$A$303,MOD($AA174,1000)+1)&amp;"")</f>
        <v/>
      </c>
      <c r="AC174">
        <f>IF($AA174="","",INDEX(Stammdaten!$B$3:$B$303,MOD($AA174,1000)+1))</f>
        <v/>
      </c>
    </row>
    <row r="175">
      <c r="T175">
        <f>IF(INDEX(Stammdaten!$I$3:$I$303,175)="","",174)</f>
        <v/>
      </c>
      <c r="U175">
        <f>IFERROR(INDEX(Stammdaten!$I$3:$I$303,SMALL($T$2:$T$301,174)+1),"")</f>
        <v/>
      </c>
      <c r="W175">
        <f>IF(INDEX(Stammdaten!$H$3:$H$303,175)="","",174)</f>
        <v/>
      </c>
      <c r="X175">
        <f>IFERROR(INDEX(Stammdaten!$H$3:$H$303,SMALL($W$2:$W$301,174)+1),"")</f>
        <v/>
      </c>
      <c r="Z175">
        <f>IF(INDEX(Stammdaten!$B$3:$B$303,175)="","",IFERROR(MATCH(INDEX(Stammdaten!$A$3:$A$303,175),Kategorien,0),999)*1000+174)</f>
        <v/>
      </c>
      <c r="AA175">
        <f>IFERROR(SMALL($Z$2:$Z$301,174),"")</f>
        <v/>
      </c>
      <c r="AB175">
        <f>IF($AA175="","",INDEX(Stammdaten!$A$3:$A$303,MOD($AA175,1000)+1)&amp;"")</f>
        <v/>
      </c>
      <c r="AC175">
        <f>IF($AA175="","",INDEX(Stammdaten!$B$3:$B$303,MOD($AA175,1000)+1))</f>
        <v/>
      </c>
    </row>
    <row r="176">
      <c r="T176">
        <f>IF(INDEX(Stammdaten!$I$3:$I$303,176)="","",175)</f>
        <v/>
      </c>
      <c r="U176">
        <f>IFERROR(INDEX(Stammdaten!$I$3:$I$303,SMALL($T$2:$T$301,175)+1),"")</f>
        <v/>
      </c>
      <c r="W176">
        <f>IF(INDEX(Stammdaten!$H$3:$H$303,176)="","",175)</f>
        <v/>
      </c>
      <c r="X176">
        <f>IFERROR(INDEX(Stammdaten!$H$3:$H$303,SMALL($W$2:$W$301,175)+1),"")</f>
        <v/>
      </c>
      <c r="Z176">
        <f>IF(INDEX(Stammdaten!$B$3:$B$303,176)="","",IFERROR(MATCH(INDEX(Stammdaten!$A$3:$A$303,176),Kategorien,0),999)*1000+175)</f>
        <v/>
      </c>
      <c r="AA176">
        <f>IFERROR(SMALL($Z$2:$Z$301,175),"")</f>
        <v/>
      </c>
      <c r="AB176">
        <f>IF($AA176="","",INDEX(Stammdaten!$A$3:$A$303,MOD($AA176,1000)+1)&amp;"")</f>
        <v/>
      </c>
      <c r="AC176">
        <f>IF($AA176="","",INDEX(Stammdaten!$B$3:$B$303,MOD($AA176,1000)+1))</f>
        <v/>
      </c>
    </row>
    <row r="177">
      <c r="T177">
        <f>IF(INDEX(Stammdaten!$I$3:$I$303,177)="","",176)</f>
        <v/>
      </c>
      <c r="U177">
        <f>IFERROR(INDEX(Stammdaten!$I$3:$I$303,SMALL($T$2:$T$301,176)+1),"")</f>
        <v/>
      </c>
      <c r="W177">
        <f>IF(INDEX(Stammdaten!$H$3:$H$303,177)="","",176)</f>
        <v/>
      </c>
      <c r="X177">
        <f>IFERROR(INDEX(Stammdaten!$H$3:$H$303,SMALL($W$2:$W$301,176)+1),"")</f>
        <v/>
      </c>
      <c r="Z177">
        <f>IF(INDEX(Stammdaten!$B$3:$B$303,177)="","",IFERROR(MATCH(INDEX(Stammdaten!$A$3:$A$303,177),Kategorien,0),999)*1000+176)</f>
        <v/>
      </c>
      <c r="AA177">
        <f>IFERROR(SMALL($Z$2:$Z$301,176),"")</f>
        <v/>
      </c>
      <c r="AB177">
        <f>IF($AA177="","",INDEX(Stammdaten!$A$3:$A$303,MOD($AA177,1000)+1)&amp;"")</f>
        <v/>
      </c>
      <c r="AC177">
        <f>IF($AA177="","",INDEX(Stammdaten!$B$3:$B$303,MOD($AA177,1000)+1))</f>
        <v/>
      </c>
    </row>
    <row r="178">
      <c r="T178">
        <f>IF(INDEX(Stammdaten!$I$3:$I$303,178)="","",177)</f>
        <v/>
      </c>
      <c r="U178">
        <f>IFERROR(INDEX(Stammdaten!$I$3:$I$303,SMALL($T$2:$T$301,177)+1),"")</f>
        <v/>
      </c>
      <c r="W178">
        <f>IF(INDEX(Stammdaten!$H$3:$H$303,178)="","",177)</f>
        <v/>
      </c>
      <c r="X178">
        <f>IFERROR(INDEX(Stammdaten!$H$3:$H$303,SMALL($W$2:$W$301,177)+1),"")</f>
        <v/>
      </c>
      <c r="Z178">
        <f>IF(INDEX(Stammdaten!$B$3:$B$303,178)="","",IFERROR(MATCH(INDEX(Stammdaten!$A$3:$A$303,178),Kategorien,0),999)*1000+177)</f>
        <v/>
      </c>
      <c r="AA178">
        <f>IFERROR(SMALL($Z$2:$Z$301,177),"")</f>
        <v/>
      </c>
      <c r="AB178">
        <f>IF($AA178="","",INDEX(Stammdaten!$A$3:$A$303,MOD($AA178,1000)+1)&amp;"")</f>
        <v/>
      </c>
      <c r="AC178">
        <f>IF($AA178="","",INDEX(Stammdaten!$B$3:$B$303,MOD($AA178,1000)+1))</f>
        <v/>
      </c>
    </row>
    <row r="179">
      <c r="T179">
        <f>IF(INDEX(Stammdaten!$I$3:$I$303,179)="","",178)</f>
        <v/>
      </c>
      <c r="U179">
        <f>IFERROR(INDEX(Stammdaten!$I$3:$I$303,SMALL($T$2:$T$301,178)+1),"")</f>
        <v/>
      </c>
      <c r="W179">
        <f>IF(INDEX(Stammdaten!$H$3:$H$303,179)="","",178)</f>
        <v/>
      </c>
      <c r="X179">
        <f>IFERROR(INDEX(Stammdaten!$H$3:$H$303,SMALL($W$2:$W$301,178)+1),"")</f>
        <v/>
      </c>
      <c r="Z179">
        <f>IF(INDEX(Stammdaten!$B$3:$B$303,179)="","",IFERROR(MATCH(INDEX(Stammdaten!$A$3:$A$303,179),Kategorien,0),999)*1000+178)</f>
        <v/>
      </c>
      <c r="AA179">
        <f>IFERROR(SMALL($Z$2:$Z$301,178),"")</f>
        <v/>
      </c>
      <c r="AB179">
        <f>IF($AA179="","",INDEX(Stammdaten!$A$3:$A$303,MOD($AA179,1000)+1)&amp;"")</f>
        <v/>
      </c>
      <c r="AC179">
        <f>IF($AA179="","",INDEX(Stammdaten!$B$3:$B$303,MOD($AA179,1000)+1))</f>
        <v/>
      </c>
    </row>
    <row r="180">
      <c r="T180">
        <f>IF(INDEX(Stammdaten!$I$3:$I$303,180)="","",179)</f>
        <v/>
      </c>
      <c r="U180">
        <f>IFERROR(INDEX(Stammdaten!$I$3:$I$303,SMALL($T$2:$T$301,179)+1),"")</f>
        <v/>
      </c>
      <c r="W180">
        <f>IF(INDEX(Stammdaten!$H$3:$H$303,180)="","",179)</f>
        <v/>
      </c>
      <c r="X180">
        <f>IFERROR(INDEX(Stammdaten!$H$3:$H$303,SMALL($W$2:$W$301,179)+1),"")</f>
        <v/>
      </c>
      <c r="Z180">
        <f>IF(INDEX(Stammdaten!$B$3:$B$303,180)="","",IFERROR(MATCH(INDEX(Stammdaten!$A$3:$A$303,180),Kategorien,0),999)*1000+179)</f>
        <v/>
      </c>
      <c r="AA180">
        <f>IFERROR(SMALL($Z$2:$Z$301,179),"")</f>
        <v/>
      </c>
      <c r="AB180">
        <f>IF($AA180="","",INDEX(Stammdaten!$A$3:$A$303,MOD($AA180,1000)+1)&amp;"")</f>
        <v/>
      </c>
      <c r="AC180">
        <f>IF($AA180="","",INDEX(Stammdaten!$B$3:$B$303,MOD($AA180,1000)+1))</f>
        <v/>
      </c>
    </row>
    <row r="181">
      <c r="T181">
        <f>IF(INDEX(Stammdaten!$I$3:$I$303,181)="","",180)</f>
        <v/>
      </c>
      <c r="U181">
        <f>IFERROR(INDEX(Stammdaten!$I$3:$I$303,SMALL($T$2:$T$301,180)+1),"")</f>
        <v/>
      </c>
      <c r="W181">
        <f>IF(INDEX(Stammdaten!$H$3:$H$303,181)="","",180)</f>
        <v/>
      </c>
      <c r="X181">
        <f>IFERROR(INDEX(Stammdaten!$H$3:$H$303,SMALL($W$2:$W$301,180)+1),"")</f>
        <v/>
      </c>
      <c r="Z181">
        <f>IF(INDEX(Stammdaten!$B$3:$B$303,181)="","",IFERROR(MATCH(INDEX(Stammdaten!$A$3:$A$303,181),Kategorien,0),999)*1000+180)</f>
        <v/>
      </c>
      <c r="AA181">
        <f>IFERROR(SMALL($Z$2:$Z$301,180),"")</f>
        <v/>
      </c>
      <c r="AB181">
        <f>IF($AA181="","",INDEX(Stammdaten!$A$3:$A$303,MOD($AA181,1000)+1)&amp;"")</f>
        <v/>
      </c>
      <c r="AC181">
        <f>IF($AA181="","",INDEX(Stammdaten!$B$3:$B$303,MOD($AA181,1000)+1))</f>
        <v/>
      </c>
    </row>
    <row r="182">
      <c r="T182">
        <f>IF(INDEX(Stammdaten!$I$3:$I$303,182)="","",181)</f>
        <v/>
      </c>
      <c r="U182">
        <f>IFERROR(INDEX(Stammdaten!$I$3:$I$303,SMALL($T$2:$T$301,181)+1),"")</f>
        <v/>
      </c>
      <c r="W182">
        <f>IF(INDEX(Stammdaten!$H$3:$H$303,182)="","",181)</f>
        <v/>
      </c>
      <c r="X182">
        <f>IFERROR(INDEX(Stammdaten!$H$3:$H$303,SMALL($W$2:$W$301,181)+1),"")</f>
        <v/>
      </c>
      <c r="Z182">
        <f>IF(INDEX(Stammdaten!$B$3:$B$303,182)="","",IFERROR(MATCH(INDEX(Stammdaten!$A$3:$A$303,182),Kategorien,0),999)*1000+181)</f>
        <v/>
      </c>
      <c r="AA182">
        <f>IFERROR(SMALL($Z$2:$Z$301,181),"")</f>
        <v/>
      </c>
      <c r="AB182">
        <f>IF($AA182="","",INDEX(Stammdaten!$A$3:$A$303,MOD($AA182,1000)+1)&amp;"")</f>
        <v/>
      </c>
      <c r="AC182">
        <f>IF($AA182="","",INDEX(Stammdaten!$B$3:$B$303,MOD($AA182,1000)+1))</f>
        <v/>
      </c>
    </row>
    <row r="183">
      <c r="T183">
        <f>IF(INDEX(Stammdaten!$I$3:$I$303,183)="","",182)</f>
        <v/>
      </c>
      <c r="U183">
        <f>IFERROR(INDEX(Stammdaten!$I$3:$I$303,SMALL($T$2:$T$301,182)+1),"")</f>
        <v/>
      </c>
      <c r="W183">
        <f>IF(INDEX(Stammdaten!$H$3:$H$303,183)="","",182)</f>
        <v/>
      </c>
      <c r="X183">
        <f>IFERROR(INDEX(Stammdaten!$H$3:$H$303,SMALL($W$2:$W$301,182)+1),"")</f>
        <v/>
      </c>
      <c r="Z183">
        <f>IF(INDEX(Stammdaten!$B$3:$B$303,183)="","",IFERROR(MATCH(INDEX(Stammdaten!$A$3:$A$303,183),Kategorien,0),999)*1000+182)</f>
        <v/>
      </c>
      <c r="AA183">
        <f>IFERROR(SMALL($Z$2:$Z$301,182),"")</f>
        <v/>
      </c>
      <c r="AB183">
        <f>IF($AA183="","",INDEX(Stammdaten!$A$3:$A$303,MOD($AA183,1000)+1)&amp;"")</f>
        <v/>
      </c>
      <c r="AC183">
        <f>IF($AA183="","",INDEX(Stammdaten!$B$3:$B$303,MOD($AA183,1000)+1))</f>
        <v/>
      </c>
    </row>
    <row r="184">
      <c r="T184">
        <f>IF(INDEX(Stammdaten!$I$3:$I$303,184)="","",183)</f>
        <v/>
      </c>
      <c r="U184">
        <f>IFERROR(INDEX(Stammdaten!$I$3:$I$303,SMALL($T$2:$T$301,183)+1),"")</f>
        <v/>
      </c>
      <c r="W184">
        <f>IF(INDEX(Stammdaten!$H$3:$H$303,184)="","",183)</f>
        <v/>
      </c>
      <c r="X184">
        <f>IFERROR(INDEX(Stammdaten!$H$3:$H$303,SMALL($W$2:$W$301,183)+1),"")</f>
        <v/>
      </c>
      <c r="Z184">
        <f>IF(INDEX(Stammdaten!$B$3:$B$303,184)="","",IFERROR(MATCH(INDEX(Stammdaten!$A$3:$A$303,184),Kategorien,0),999)*1000+183)</f>
        <v/>
      </c>
      <c r="AA184">
        <f>IFERROR(SMALL($Z$2:$Z$301,183),"")</f>
        <v/>
      </c>
      <c r="AB184">
        <f>IF($AA184="","",INDEX(Stammdaten!$A$3:$A$303,MOD($AA184,1000)+1)&amp;"")</f>
        <v/>
      </c>
      <c r="AC184">
        <f>IF($AA184="","",INDEX(Stammdaten!$B$3:$B$303,MOD($AA184,1000)+1))</f>
        <v/>
      </c>
    </row>
    <row r="185">
      <c r="T185">
        <f>IF(INDEX(Stammdaten!$I$3:$I$303,185)="","",184)</f>
        <v/>
      </c>
      <c r="U185">
        <f>IFERROR(INDEX(Stammdaten!$I$3:$I$303,SMALL($T$2:$T$301,184)+1),"")</f>
        <v/>
      </c>
      <c r="W185">
        <f>IF(INDEX(Stammdaten!$H$3:$H$303,185)="","",184)</f>
        <v/>
      </c>
      <c r="X185">
        <f>IFERROR(INDEX(Stammdaten!$H$3:$H$303,SMALL($W$2:$W$301,184)+1),"")</f>
        <v/>
      </c>
      <c r="Z185">
        <f>IF(INDEX(Stammdaten!$B$3:$B$303,185)="","",IFERROR(MATCH(INDEX(Stammdaten!$A$3:$A$303,185),Kategorien,0),999)*1000+184)</f>
        <v/>
      </c>
      <c r="AA185">
        <f>IFERROR(SMALL($Z$2:$Z$301,184),"")</f>
        <v/>
      </c>
      <c r="AB185">
        <f>IF($AA185="","",INDEX(Stammdaten!$A$3:$A$303,MOD($AA185,1000)+1)&amp;"")</f>
        <v/>
      </c>
      <c r="AC185">
        <f>IF($AA185="","",INDEX(Stammdaten!$B$3:$B$303,MOD($AA185,1000)+1))</f>
        <v/>
      </c>
    </row>
    <row r="186">
      <c r="T186">
        <f>IF(INDEX(Stammdaten!$I$3:$I$303,186)="","",185)</f>
        <v/>
      </c>
      <c r="U186">
        <f>IFERROR(INDEX(Stammdaten!$I$3:$I$303,SMALL($T$2:$T$301,185)+1),"")</f>
        <v/>
      </c>
      <c r="W186">
        <f>IF(INDEX(Stammdaten!$H$3:$H$303,186)="","",185)</f>
        <v/>
      </c>
      <c r="X186">
        <f>IFERROR(INDEX(Stammdaten!$H$3:$H$303,SMALL($W$2:$W$301,185)+1),"")</f>
        <v/>
      </c>
      <c r="Z186">
        <f>IF(INDEX(Stammdaten!$B$3:$B$303,186)="","",IFERROR(MATCH(INDEX(Stammdaten!$A$3:$A$303,186),Kategorien,0),999)*1000+185)</f>
        <v/>
      </c>
      <c r="AA186">
        <f>IFERROR(SMALL($Z$2:$Z$301,185),"")</f>
        <v/>
      </c>
      <c r="AB186">
        <f>IF($AA186="","",INDEX(Stammdaten!$A$3:$A$303,MOD($AA186,1000)+1)&amp;"")</f>
        <v/>
      </c>
      <c r="AC186">
        <f>IF($AA186="","",INDEX(Stammdaten!$B$3:$B$303,MOD($AA186,1000)+1))</f>
        <v/>
      </c>
    </row>
    <row r="187">
      <c r="T187">
        <f>IF(INDEX(Stammdaten!$I$3:$I$303,187)="","",186)</f>
        <v/>
      </c>
      <c r="U187">
        <f>IFERROR(INDEX(Stammdaten!$I$3:$I$303,SMALL($T$2:$T$301,186)+1),"")</f>
        <v/>
      </c>
      <c r="W187">
        <f>IF(INDEX(Stammdaten!$H$3:$H$303,187)="","",186)</f>
        <v/>
      </c>
      <c r="X187">
        <f>IFERROR(INDEX(Stammdaten!$H$3:$H$303,SMALL($W$2:$W$301,186)+1),"")</f>
        <v/>
      </c>
      <c r="Z187">
        <f>IF(INDEX(Stammdaten!$B$3:$B$303,187)="","",IFERROR(MATCH(INDEX(Stammdaten!$A$3:$A$303,187),Kategorien,0),999)*1000+186)</f>
        <v/>
      </c>
      <c r="AA187">
        <f>IFERROR(SMALL($Z$2:$Z$301,186),"")</f>
        <v/>
      </c>
      <c r="AB187">
        <f>IF($AA187="","",INDEX(Stammdaten!$A$3:$A$303,MOD($AA187,1000)+1)&amp;"")</f>
        <v/>
      </c>
      <c r="AC187">
        <f>IF($AA187="","",INDEX(Stammdaten!$B$3:$B$303,MOD($AA187,1000)+1))</f>
        <v/>
      </c>
    </row>
    <row r="188">
      <c r="T188">
        <f>IF(INDEX(Stammdaten!$I$3:$I$303,188)="","",187)</f>
        <v/>
      </c>
      <c r="U188">
        <f>IFERROR(INDEX(Stammdaten!$I$3:$I$303,SMALL($T$2:$T$301,187)+1),"")</f>
        <v/>
      </c>
      <c r="W188">
        <f>IF(INDEX(Stammdaten!$H$3:$H$303,188)="","",187)</f>
        <v/>
      </c>
      <c r="X188">
        <f>IFERROR(INDEX(Stammdaten!$H$3:$H$303,SMALL($W$2:$W$301,187)+1),"")</f>
        <v/>
      </c>
      <c r="Z188">
        <f>IF(INDEX(Stammdaten!$B$3:$B$303,188)="","",IFERROR(MATCH(INDEX(Stammdaten!$A$3:$A$303,188),Kategorien,0),999)*1000+187)</f>
        <v/>
      </c>
      <c r="AA188">
        <f>IFERROR(SMALL($Z$2:$Z$301,187),"")</f>
        <v/>
      </c>
      <c r="AB188">
        <f>IF($AA188="","",INDEX(Stammdaten!$A$3:$A$303,MOD($AA188,1000)+1)&amp;"")</f>
        <v/>
      </c>
      <c r="AC188">
        <f>IF($AA188="","",INDEX(Stammdaten!$B$3:$B$303,MOD($AA188,1000)+1))</f>
        <v/>
      </c>
    </row>
    <row r="189">
      <c r="T189">
        <f>IF(INDEX(Stammdaten!$I$3:$I$303,189)="","",188)</f>
        <v/>
      </c>
      <c r="U189">
        <f>IFERROR(INDEX(Stammdaten!$I$3:$I$303,SMALL($T$2:$T$301,188)+1),"")</f>
        <v/>
      </c>
      <c r="W189">
        <f>IF(INDEX(Stammdaten!$H$3:$H$303,189)="","",188)</f>
        <v/>
      </c>
      <c r="X189">
        <f>IFERROR(INDEX(Stammdaten!$H$3:$H$303,SMALL($W$2:$W$301,188)+1),"")</f>
        <v/>
      </c>
      <c r="Z189">
        <f>IF(INDEX(Stammdaten!$B$3:$B$303,189)="","",IFERROR(MATCH(INDEX(Stammdaten!$A$3:$A$303,189),Kategorien,0),999)*1000+188)</f>
        <v/>
      </c>
      <c r="AA189">
        <f>IFERROR(SMALL($Z$2:$Z$301,188),"")</f>
        <v/>
      </c>
      <c r="AB189">
        <f>IF($AA189="","",INDEX(Stammdaten!$A$3:$A$303,MOD($AA189,1000)+1)&amp;"")</f>
        <v/>
      </c>
      <c r="AC189">
        <f>IF($AA189="","",INDEX(Stammdaten!$B$3:$B$303,MOD($AA189,1000)+1))</f>
        <v/>
      </c>
    </row>
    <row r="190">
      <c r="T190">
        <f>IF(INDEX(Stammdaten!$I$3:$I$303,190)="","",189)</f>
        <v/>
      </c>
      <c r="U190">
        <f>IFERROR(INDEX(Stammdaten!$I$3:$I$303,SMALL($T$2:$T$301,189)+1),"")</f>
        <v/>
      </c>
      <c r="W190">
        <f>IF(INDEX(Stammdaten!$H$3:$H$303,190)="","",189)</f>
        <v/>
      </c>
      <c r="X190">
        <f>IFERROR(INDEX(Stammdaten!$H$3:$H$303,SMALL($W$2:$W$301,189)+1),"")</f>
        <v/>
      </c>
      <c r="Z190">
        <f>IF(INDEX(Stammdaten!$B$3:$B$303,190)="","",IFERROR(MATCH(INDEX(Stammdaten!$A$3:$A$303,190),Kategorien,0),999)*1000+189)</f>
        <v/>
      </c>
      <c r="AA190">
        <f>IFERROR(SMALL($Z$2:$Z$301,189),"")</f>
        <v/>
      </c>
      <c r="AB190">
        <f>IF($AA190="","",INDEX(Stammdaten!$A$3:$A$303,MOD($AA190,1000)+1)&amp;"")</f>
        <v/>
      </c>
      <c r="AC190">
        <f>IF($AA190="","",INDEX(Stammdaten!$B$3:$B$303,MOD($AA190,1000)+1))</f>
        <v/>
      </c>
    </row>
    <row r="191">
      <c r="T191">
        <f>IF(INDEX(Stammdaten!$I$3:$I$303,191)="","",190)</f>
        <v/>
      </c>
      <c r="U191">
        <f>IFERROR(INDEX(Stammdaten!$I$3:$I$303,SMALL($T$2:$T$301,190)+1),"")</f>
        <v/>
      </c>
      <c r="W191">
        <f>IF(INDEX(Stammdaten!$H$3:$H$303,191)="","",190)</f>
        <v/>
      </c>
      <c r="X191">
        <f>IFERROR(INDEX(Stammdaten!$H$3:$H$303,SMALL($W$2:$W$301,190)+1),"")</f>
        <v/>
      </c>
      <c r="Z191">
        <f>IF(INDEX(Stammdaten!$B$3:$B$303,191)="","",IFERROR(MATCH(INDEX(Stammdaten!$A$3:$A$303,191),Kategorien,0),999)*1000+190)</f>
        <v/>
      </c>
      <c r="AA191">
        <f>IFERROR(SMALL($Z$2:$Z$301,190),"")</f>
        <v/>
      </c>
      <c r="AB191">
        <f>IF($AA191="","",INDEX(Stammdaten!$A$3:$A$303,MOD($AA191,1000)+1)&amp;"")</f>
        <v/>
      </c>
      <c r="AC191">
        <f>IF($AA191="","",INDEX(Stammdaten!$B$3:$B$303,MOD($AA191,1000)+1))</f>
        <v/>
      </c>
    </row>
    <row r="192">
      <c r="T192">
        <f>IF(INDEX(Stammdaten!$I$3:$I$303,192)="","",191)</f>
        <v/>
      </c>
      <c r="U192">
        <f>IFERROR(INDEX(Stammdaten!$I$3:$I$303,SMALL($T$2:$T$301,191)+1),"")</f>
        <v/>
      </c>
      <c r="W192">
        <f>IF(INDEX(Stammdaten!$H$3:$H$303,192)="","",191)</f>
        <v/>
      </c>
      <c r="X192">
        <f>IFERROR(INDEX(Stammdaten!$H$3:$H$303,SMALL($W$2:$W$301,191)+1),"")</f>
        <v/>
      </c>
      <c r="Z192">
        <f>IF(INDEX(Stammdaten!$B$3:$B$303,192)="","",IFERROR(MATCH(INDEX(Stammdaten!$A$3:$A$303,192),Kategorien,0),999)*1000+191)</f>
        <v/>
      </c>
      <c r="AA192">
        <f>IFERROR(SMALL($Z$2:$Z$301,191),"")</f>
        <v/>
      </c>
      <c r="AB192">
        <f>IF($AA192="","",INDEX(Stammdaten!$A$3:$A$303,MOD($AA192,1000)+1)&amp;"")</f>
        <v/>
      </c>
      <c r="AC192">
        <f>IF($AA192="","",INDEX(Stammdaten!$B$3:$B$303,MOD($AA192,1000)+1))</f>
        <v/>
      </c>
    </row>
    <row r="193">
      <c r="T193">
        <f>IF(INDEX(Stammdaten!$I$3:$I$303,193)="","",192)</f>
        <v/>
      </c>
      <c r="U193">
        <f>IFERROR(INDEX(Stammdaten!$I$3:$I$303,SMALL($T$2:$T$301,192)+1),"")</f>
        <v/>
      </c>
      <c r="W193">
        <f>IF(INDEX(Stammdaten!$H$3:$H$303,193)="","",192)</f>
        <v/>
      </c>
      <c r="X193">
        <f>IFERROR(INDEX(Stammdaten!$H$3:$H$303,SMALL($W$2:$W$301,192)+1),"")</f>
        <v/>
      </c>
      <c r="Z193">
        <f>IF(INDEX(Stammdaten!$B$3:$B$303,193)="","",IFERROR(MATCH(INDEX(Stammdaten!$A$3:$A$303,193),Kategorien,0),999)*1000+192)</f>
        <v/>
      </c>
      <c r="AA193">
        <f>IFERROR(SMALL($Z$2:$Z$301,192),"")</f>
        <v/>
      </c>
      <c r="AB193">
        <f>IF($AA193="","",INDEX(Stammdaten!$A$3:$A$303,MOD($AA193,1000)+1)&amp;"")</f>
        <v/>
      </c>
      <c r="AC193">
        <f>IF($AA193="","",INDEX(Stammdaten!$B$3:$B$303,MOD($AA193,1000)+1))</f>
        <v/>
      </c>
    </row>
    <row r="194">
      <c r="T194">
        <f>IF(INDEX(Stammdaten!$I$3:$I$303,194)="","",193)</f>
        <v/>
      </c>
      <c r="U194">
        <f>IFERROR(INDEX(Stammdaten!$I$3:$I$303,SMALL($T$2:$T$301,193)+1),"")</f>
        <v/>
      </c>
      <c r="W194">
        <f>IF(INDEX(Stammdaten!$H$3:$H$303,194)="","",193)</f>
        <v/>
      </c>
      <c r="X194">
        <f>IFERROR(INDEX(Stammdaten!$H$3:$H$303,SMALL($W$2:$W$301,193)+1),"")</f>
        <v/>
      </c>
      <c r="Z194">
        <f>IF(INDEX(Stammdaten!$B$3:$B$303,194)="","",IFERROR(MATCH(INDEX(Stammdaten!$A$3:$A$303,194),Kategorien,0),999)*1000+193)</f>
        <v/>
      </c>
      <c r="AA194">
        <f>IFERROR(SMALL($Z$2:$Z$301,193),"")</f>
        <v/>
      </c>
      <c r="AB194">
        <f>IF($AA194="","",INDEX(Stammdaten!$A$3:$A$303,MOD($AA194,1000)+1)&amp;"")</f>
        <v/>
      </c>
      <c r="AC194">
        <f>IF($AA194="","",INDEX(Stammdaten!$B$3:$B$303,MOD($AA194,1000)+1))</f>
        <v/>
      </c>
    </row>
    <row r="195">
      <c r="T195">
        <f>IF(INDEX(Stammdaten!$I$3:$I$303,195)="","",194)</f>
        <v/>
      </c>
      <c r="U195">
        <f>IFERROR(INDEX(Stammdaten!$I$3:$I$303,SMALL($T$2:$T$301,194)+1),"")</f>
        <v/>
      </c>
      <c r="W195">
        <f>IF(INDEX(Stammdaten!$H$3:$H$303,195)="","",194)</f>
        <v/>
      </c>
      <c r="X195">
        <f>IFERROR(INDEX(Stammdaten!$H$3:$H$303,SMALL($W$2:$W$301,194)+1),"")</f>
        <v/>
      </c>
      <c r="Z195">
        <f>IF(INDEX(Stammdaten!$B$3:$B$303,195)="","",IFERROR(MATCH(INDEX(Stammdaten!$A$3:$A$303,195),Kategorien,0),999)*1000+194)</f>
        <v/>
      </c>
      <c r="AA195">
        <f>IFERROR(SMALL($Z$2:$Z$301,194),"")</f>
        <v/>
      </c>
      <c r="AB195">
        <f>IF($AA195="","",INDEX(Stammdaten!$A$3:$A$303,MOD($AA195,1000)+1)&amp;"")</f>
        <v/>
      </c>
      <c r="AC195">
        <f>IF($AA195="","",INDEX(Stammdaten!$B$3:$B$303,MOD($AA195,1000)+1))</f>
        <v/>
      </c>
    </row>
    <row r="196">
      <c r="T196">
        <f>IF(INDEX(Stammdaten!$I$3:$I$303,196)="","",195)</f>
        <v/>
      </c>
      <c r="U196">
        <f>IFERROR(INDEX(Stammdaten!$I$3:$I$303,SMALL($T$2:$T$301,195)+1),"")</f>
        <v/>
      </c>
      <c r="W196">
        <f>IF(INDEX(Stammdaten!$H$3:$H$303,196)="","",195)</f>
        <v/>
      </c>
      <c r="X196">
        <f>IFERROR(INDEX(Stammdaten!$H$3:$H$303,SMALL($W$2:$W$301,195)+1),"")</f>
        <v/>
      </c>
      <c r="Z196">
        <f>IF(INDEX(Stammdaten!$B$3:$B$303,196)="","",IFERROR(MATCH(INDEX(Stammdaten!$A$3:$A$303,196),Kategorien,0),999)*1000+195)</f>
        <v/>
      </c>
      <c r="AA196">
        <f>IFERROR(SMALL($Z$2:$Z$301,195),"")</f>
        <v/>
      </c>
      <c r="AB196">
        <f>IF($AA196="","",INDEX(Stammdaten!$A$3:$A$303,MOD($AA196,1000)+1)&amp;"")</f>
        <v/>
      </c>
      <c r="AC196">
        <f>IF($AA196="","",INDEX(Stammdaten!$B$3:$B$303,MOD($AA196,1000)+1))</f>
        <v/>
      </c>
    </row>
    <row r="197">
      <c r="T197">
        <f>IF(INDEX(Stammdaten!$I$3:$I$303,197)="","",196)</f>
        <v/>
      </c>
      <c r="U197">
        <f>IFERROR(INDEX(Stammdaten!$I$3:$I$303,SMALL($T$2:$T$301,196)+1),"")</f>
        <v/>
      </c>
      <c r="W197">
        <f>IF(INDEX(Stammdaten!$H$3:$H$303,197)="","",196)</f>
        <v/>
      </c>
      <c r="X197">
        <f>IFERROR(INDEX(Stammdaten!$H$3:$H$303,SMALL($W$2:$W$301,196)+1),"")</f>
        <v/>
      </c>
      <c r="Z197">
        <f>IF(INDEX(Stammdaten!$B$3:$B$303,197)="","",IFERROR(MATCH(INDEX(Stammdaten!$A$3:$A$303,197),Kategorien,0),999)*1000+196)</f>
        <v/>
      </c>
      <c r="AA197">
        <f>IFERROR(SMALL($Z$2:$Z$301,196),"")</f>
        <v/>
      </c>
      <c r="AB197">
        <f>IF($AA197="","",INDEX(Stammdaten!$A$3:$A$303,MOD($AA197,1000)+1)&amp;"")</f>
        <v/>
      </c>
      <c r="AC197">
        <f>IF($AA197="","",INDEX(Stammdaten!$B$3:$B$303,MOD($AA197,1000)+1))</f>
        <v/>
      </c>
    </row>
    <row r="198">
      <c r="T198">
        <f>IF(INDEX(Stammdaten!$I$3:$I$303,198)="","",197)</f>
        <v/>
      </c>
      <c r="U198">
        <f>IFERROR(INDEX(Stammdaten!$I$3:$I$303,SMALL($T$2:$T$301,197)+1),"")</f>
        <v/>
      </c>
      <c r="W198">
        <f>IF(INDEX(Stammdaten!$H$3:$H$303,198)="","",197)</f>
        <v/>
      </c>
      <c r="X198">
        <f>IFERROR(INDEX(Stammdaten!$H$3:$H$303,SMALL($W$2:$W$301,197)+1),"")</f>
        <v/>
      </c>
      <c r="Z198">
        <f>IF(INDEX(Stammdaten!$B$3:$B$303,198)="","",IFERROR(MATCH(INDEX(Stammdaten!$A$3:$A$303,198),Kategorien,0),999)*1000+197)</f>
        <v/>
      </c>
      <c r="AA198">
        <f>IFERROR(SMALL($Z$2:$Z$301,197),"")</f>
        <v/>
      </c>
      <c r="AB198">
        <f>IF($AA198="","",INDEX(Stammdaten!$A$3:$A$303,MOD($AA198,1000)+1)&amp;"")</f>
        <v/>
      </c>
      <c r="AC198">
        <f>IF($AA198="","",INDEX(Stammdaten!$B$3:$B$303,MOD($AA198,1000)+1))</f>
        <v/>
      </c>
    </row>
    <row r="199">
      <c r="T199">
        <f>IF(INDEX(Stammdaten!$I$3:$I$303,199)="","",198)</f>
        <v/>
      </c>
      <c r="U199">
        <f>IFERROR(INDEX(Stammdaten!$I$3:$I$303,SMALL($T$2:$T$301,198)+1),"")</f>
        <v/>
      </c>
      <c r="W199">
        <f>IF(INDEX(Stammdaten!$H$3:$H$303,199)="","",198)</f>
        <v/>
      </c>
      <c r="X199">
        <f>IFERROR(INDEX(Stammdaten!$H$3:$H$303,SMALL($W$2:$W$301,198)+1),"")</f>
        <v/>
      </c>
      <c r="Z199">
        <f>IF(INDEX(Stammdaten!$B$3:$B$303,199)="","",IFERROR(MATCH(INDEX(Stammdaten!$A$3:$A$303,199),Kategorien,0),999)*1000+198)</f>
        <v/>
      </c>
      <c r="AA199">
        <f>IFERROR(SMALL($Z$2:$Z$301,198),"")</f>
        <v/>
      </c>
      <c r="AB199">
        <f>IF($AA199="","",INDEX(Stammdaten!$A$3:$A$303,MOD($AA199,1000)+1)&amp;"")</f>
        <v/>
      </c>
      <c r="AC199">
        <f>IF($AA199="","",INDEX(Stammdaten!$B$3:$B$303,MOD($AA199,1000)+1))</f>
        <v/>
      </c>
    </row>
    <row r="200">
      <c r="T200">
        <f>IF(INDEX(Stammdaten!$I$3:$I$303,200)="","",199)</f>
        <v/>
      </c>
      <c r="U200">
        <f>IFERROR(INDEX(Stammdaten!$I$3:$I$303,SMALL($T$2:$T$301,199)+1),"")</f>
        <v/>
      </c>
      <c r="W200">
        <f>IF(INDEX(Stammdaten!$H$3:$H$303,200)="","",199)</f>
        <v/>
      </c>
      <c r="X200">
        <f>IFERROR(INDEX(Stammdaten!$H$3:$H$303,SMALL($W$2:$W$301,199)+1),"")</f>
        <v/>
      </c>
      <c r="Z200">
        <f>IF(INDEX(Stammdaten!$B$3:$B$303,200)="","",IFERROR(MATCH(INDEX(Stammdaten!$A$3:$A$303,200),Kategorien,0),999)*1000+199)</f>
        <v/>
      </c>
      <c r="AA200">
        <f>IFERROR(SMALL($Z$2:$Z$301,199),"")</f>
        <v/>
      </c>
      <c r="AB200">
        <f>IF($AA200="","",INDEX(Stammdaten!$A$3:$A$303,MOD($AA200,1000)+1)&amp;"")</f>
        <v/>
      </c>
      <c r="AC200">
        <f>IF($AA200="","",INDEX(Stammdaten!$B$3:$B$303,MOD($AA200,1000)+1))</f>
        <v/>
      </c>
    </row>
    <row r="201">
      <c r="T201">
        <f>IF(INDEX(Stammdaten!$I$3:$I$303,201)="","",200)</f>
        <v/>
      </c>
      <c r="U201">
        <f>IFERROR(INDEX(Stammdaten!$I$3:$I$303,SMALL($T$2:$T$301,200)+1),"")</f>
        <v/>
      </c>
      <c r="W201">
        <f>IF(INDEX(Stammdaten!$H$3:$H$303,201)="","",200)</f>
        <v/>
      </c>
      <c r="X201">
        <f>IFERROR(INDEX(Stammdaten!$H$3:$H$303,SMALL($W$2:$W$301,200)+1),"")</f>
        <v/>
      </c>
      <c r="Z201">
        <f>IF(INDEX(Stammdaten!$B$3:$B$303,201)="","",IFERROR(MATCH(INDEX(Stammdaten!$A$3:$A$303,201),Kategorien,0),999)*1000+200)</f>
        <v/>
      </c>
      <c r="AA201">
        <f>IFERROR(SMALL($Z$2:$Z$301,200),"")</f>
        <v/>
      </c>
      <c r="AB201">
        <f>IF($AA201="","",INDEX(Stammdaten!$A$3:$A$303,MOD($AA201,1000)+1)&amp;"")</f>
        <v/>
      </c>
      <c r="AC201">
        <f>IF($AA201="","",INDEX(Stammdaten!$B$3:$B$303,MOD($AA201,1000)+1))</f>
        <v/>
      </c>
    </row>
    <row r="202">
      <c r="T202">
        <f>IF(INDEX(Stammdaten!$I$3:$I$303,202)="","",201)</f>
        <v/>
      </c>
      <c r="U202">
        <f>IFERROR(INDEX(Stammdaten!$I$3:$I$303,SMALL($T$2:$T$301,201)+1),"")</f>
        <v/>
      </c>
      <c r="W202">
        <f>IF(INDEX(Stammdaten!$H$3:$H$303,202)="","",201)</f>
        <v/>
      </c>
      <c r="X202">
        <f>IFERROR(INDEX(Stammdaten!$H$3:$H$303,SMALL($W$2:$W$301,201)+1),"")</f>
        <v/>
      </c>
      <c r="Z202">
        <f>IF(INDEX(Stammdaten!$B$3:$B$303,202)="","",IFERROR(MATCH(INDEX(Stammdaten!$A$3:$A$303,202),Kategorien,0),999)*1000+201)</f>
        <v/>
      </c>
      <c r="AA202">
        <f>IFERROR(SMALL($Z$2:$Z$301,201),"")</f>
        <v/>
      </c>
      <c r="AB202">
        <f>IF($AA202="","",INDEX(Stammdaten!$A$3:$A$303,MOD($AA202,1000)+1)&amp;"")</f>
        <v/>
      </c>
      <c r="AC202">
        <f>IF($AA202="","",INDEX(Stammdaten!$B$3:$B$303,MOD($AA202,1000)+1))</f>
        <v/>
      </c>
    </row>
    <row r="203">
      <c r="T203">
        <f>IF(INDEX(Stammdaten!$I$3:$I$303,203)="","",202)</f>
        <v/>
      </c>
      <c r="U203">
        <f>IFERROR(INDEX(Stammdaten!$I$3:$I$303,SMALL($T$2:$T$301,202)+1),"")</f>
        <v/>
      </c>
      <c r="W203">
        <f>IF(INDEX(Stammdaten!$H$3:$H$303,203)="","",202)</f>
        <v/>
      </c>
      <c r="X203">
        <f>IFERROR(INDEX(Stammdaten!$H$3:$H$303,SMALL($W$2:$W$301,202)+1),"")</f>
        <v/>
      </c>
      <c r="Z203">
        <f>IF(INDEX(Stammdaten!$B$3:$B$303,203)="","",IFERROR(MATCH(INDEX(Stammdaten!$A$3:$A$303,203),Kategorien,0),999)*1000+202)</f>
        <v/>
      </c>
      <c r="AA203">
        <f>IFERROR(SMALL($Z$2:$Z$301,202),"")</f>
        <v/>
      </c>
      <c r="AB203">
        <f>IF($AA203="","",INDEX(Stammdaten!$A$3:$A$303,MOD($AA203,1000)+1)&amp;"")</f>
        <v/>
      </c>
      <c r="AC203">
        <f>IF($AA203="","",INDEX(Stammdaten!$B$3:$B$303,MOD($AA203,1000)+1))</f>
        <v/>
      </c>
    </row>
    <row r="204">
      <c r="T204">
        <f>IF(INDEX(Stammdaten!$I$3:$I$303,204)="","",203)</f>
        <v/>
      </c>
      <c r="U204">
        <f>IFERROR(INDEX(Stammdaten!$I$3:$I$303,SMALL($T$2:$T$301,203)+1),"")</f>
        <v/>
      </c>
      <c r="W204">
        <f>IF(INDEX(Stammdaten!$H$3:$H$303,204)="","",203)</f>
        <v/>
      </c>
      <c r="X204">
        <f>IFERROR(INDEX(Stammdaten!$H$3:$H$303,SMALL($W$2:$W$301,203)+1),"")</f>
        <v/>
      </c>
      <c r="Z204">
        <f>IF(INDEX(Stammdaten!$B$3:$B$303,204)="","",IFERROR(MATCH(INDEX(Stammdaten!$A$3:$A$303,204),Kategorien,0),999)*1000+203)</f>
        <v/>
      </c>
      <c r="AA204">
        <f>IFERROR(SMALL($Z$2:$Z$301,203),"")</f>
        <v/>
      </c>
      <c r="AB204">
        <f>IF($AA204="","",INDEX(Stammdaten!$A$3:$A$303,MOD($AA204,1000)+1)&amp;"")</f>
        <v/>
      </c>
      <c r="AC204">
        <f>IF($AA204="","",INDEX(Stammdaten!$B$3:$B$303,MOD($AA204,1000)+1))</f>
        <v/>
      </c>
    </row>
    <row r="205">
      <c r="T205">
        <f>IF(INDEX(Stammdaten!$I$3:$I$303,205)="","",204)</f>
        <v/>
      </c>
      <c r="U205">
        <f>IFERROR(INDEX(Stammdaten!$I$3:$I$303,SMALL($T$2:$T$301,204)+1),"")</f>
        <v/>
      </c>
      <c r="W205">
        <f>IF(INDEX(Stammdaten!$H$3:$H$303,205)="","",204)</f>
        <v/>
      </c>
      <c r="X205">
        <f>IFERROR(INDEX(Stammdaten!$H$3:$H$303,SMALL($W$2:$W$301,204)+1),"")</f>
        <v/>
      </c>
      <c r="Z205">
        <f>IF(INDEX(Stammdaten!$B$3:$B$303,205)="","",IFERROR(MATCH(INDEX(Stammdaten!$A$3:$A$303,205),Kategorien,0),999)*1000+204)</f>
        <v/>
      </c>
      <c r="AA205">
        <f>IFERROR(SMALL($Z$2:$Z$301,204),"")</f>
        <v/>
      </c>
      <c r="AB205">
        <f>IF($AA205="","",INDEX(Stammdaten!$A$3:$A$303,MOD($AA205,1000)+1)&amp;"")</f>
        <v/>
      </c>
      <c r="AC205">
        <f>IF($AA205="","",INDEX(Stammdaten!$B$3:$B$303,MOD($AA205,1000)+1))</f>
        <v/>
      </c>
    </row>
    <row r="206">
      <c r="T206">
        <f>IF(INDEX(Stammdaten!$I$3:$I$303,206)="","",205)</f>
        <v/>
      </c>
      <c r="U206">
        <f>IFERROR(INDEX(Stammdaten!$I$3:$I$303,SMALL($T$2:$T$301,205)+1),"")</f>
        <v/>
      </c>
      <c r="W206">
        <f>IF(INDEX(Stammdaten!$H$3:$H$303,206)="","",205)</f>
        <v/>
      </c>
      <c r="X206">
        <f>IFERROR(INDEX(Stammdaten!$H$3:$H$303,SMALL($W$2:$W$301,205)+1),"")</f>
        <v/>
      </c>
      <c r="Z206">
        <f>IF(INDEX(Stammdaten!$B$3:$B$303,206)="","",IFERROR(MATCH(INDEX(Stammdaten!$A$3:$A$303,206),Kategorien,0),999)*1000+205)</f>
        <v/>
      </c>
      <c r="AA206">
        <f>IFERROR(SMALL($Z$2:$Z$301,205),"")</f>
        <v/>
      </c>
      <c r="AB206">
        <f>IF($AA206="","",INDEX(Stammdaten!$A$3:$A$303,MOD($AA206,1000)+1)&amp;"")</f>
        <v/>
      </c>
      <c r="AC206">
        <f>IF($AA206="","",INDEX(Stammdaten!$B$3:$B$303,MOD($AA206,1000)+1))</f>
        <v/>
      </c>
    </row>
    <row r="207">
      <c r="T207">
        <f>IF(INDEX(Stammdaten!$I$3:$I$303,207)="","",206)</f>
        <v/>
      </c>
      <c r="U207">
        <f>IFERROR(INDEX(Stammdaten!$I$3:$I$303,SMALL($T$2:$T$301,206)+1),"")</f>
        <v/>
      </c>
      <c r="W207">
        <f>IF(INDEX(Stammdaten!$H$3:$H$303,207)="","",206)</f>
        <v/>
      </c>
      <c r="X207">
        <f>IFERROR(INDEX(Stammdaten!$H$3:$H$303,SMALL($W$2:$W$301,206)+1),"")</f>
        <v/>
      </c>
      <c r="Z207">
        <f>IF(INDEX(Stammdaten!$B$3:$B$303,207)="","",IFERROR(MATCH(INDEX(Stammdaten!$A$3:$A$303,207),Kategorien,0),999)*1000+206)</f>
        <v/>
      </c>
      <c r="AA207">
        <f>IFERROR(SMALL($Z$2:$Z$301,206),"")</f>
        <v/>
      </c>
      <c r="AB207">
        <f>IF($AA207="","",INDEX(Stammdaten!$A$3:$A$303,MOD($AA207,1000)+1)&amp;"")</f>
        <v/>
      </c>
      <c r="AC207">
        <f>IF($AA207="","",INDEX(Stammdaten!$B$3:$B$303,MOD($AA207,1000)+1))</f>
        <v/>
      </c>
    </row>
    <row r="208">
      <c r="T208">
        <f>IF(INDEX(Stammdaten!$I$3:$I$303,208)="","",207)</f>
        <v/>
      </c>
      <c r="U208">
        <f>IFERROR(INDEX(Stammdaten!$I$3:$I$303,SMALL($T$2:$T$301,207)+1),"")</f>
        <v/>
      </c>
      <c r="W208">
        <f>IF(INDEX(Stammdaten!$H$3:$H$303,208)="","",207)</f>
        <v/>
      </c>
      <c r="X208">
        <f>IFERROR(INDEX(Stammdaten!$H$3:$H$303,SMALL($W$2:$W$301,207)+1),"")</f>
        <v/>
      </c>
      <c r="Z208">
        <f>IF(INDEX(Stammdaten!$B$3:$B$303,208)="","",IFERROR(MATCH(INDEX(Stammdaten!$A$3:$A$303,208),Kategorien,0),999)*1000+207)</f>
        <v/>
      </c>
      <c r="AA208">
        <f>IFERROR(SMALL($Z$2:$Z$301,207),"")</f>
        <v/>
      </c>
      <c r="AB208">
        <f>IF($AA208="","",INDEX(Stammdaten!$A$3:$A$303,MOD($AA208,1000)+1)&amp;"")</f>
        <v/>
      </c>
      <c r="AC208">
        <f>IF($AA208="","",INDEX(Stammdaten!$B$3:$B$303,MOD($AA208,1000)+1))</f>
        <v/>
      </c>
    </row>
    <row r="209">
      <c r="T209">
        <f>IF(INDEX(Stammdaten!$I$3:$I$303,209)="","",208)</f>
        <v/>
      </c>
      <c r="U209">
        <f>IFERROR(INDEX(Stammdaten!$I$3:$I$303,SMALL($T$2:$T$301,208)+1),"")</f>
        <v/>
      </c>
      <c r="W209">
        <f>IF(INDEX(Stammdaten!$H$3:$H$303,209)="","",208)</f>
        <v/>
      </c>
      <c r="X209">
        <f>IFERROR(INDEX(Stammdaten!$H$3:$H$303,SMALL($W$2:$W$301,208)+1),"")</f>
        <v/>
      </c>
      <c r="Z209">
        <f>IF(INDEX(Stammdaten!$B$3:$B$303,209)="","",IFERROR(MATCH(INDEX(Stammdaten!$A$3:$A$303,209),Kategorien,0),999)*1000+208)</f>
        <v/>
      </c>
      <c r="AA209">
        <f>IFERROR(SMALL($Z$2:$Z$301,208),"")</f>
        <v/>
      </c>
      <c r="AB209">
        <f>IF($AA209="","",INDEX(Stammdaten!$A$3:$A$303,MOD($AA209,1000)+1)&amp;"")</f>
        <v/>
      </c>
      <c r="AC209">
        <f>IF($AA209="","",INDEX(Stammdaten!$B$3:$B$303,MOD($AA209,1000)+1))</f>
        <v/>
      </c>
    </row>
    <row r="210">
      <c r="T210">
        <f>IF(INDEX(Stammdaten!$I$3:$I$303,210)="","",209)</f>
        <v/>
      </c>
      <c r="U210">
        <f>IFERROR(INDEX(Stammdaten!$I$3:$I$303,SMALL($T$2:$T$301,209)+1),"")</f>
        <v/>
      </c>
      <c r="W210">
        <f>IF(INDEX(Stammdaten!$H$3:$H$303,210)="","",209)</f>
        <v/>
      </c>
      <c r="X210">
        <f>IFERROR(INDEX(Stammdaten!$H$3:$H$303,SMALL($W$2:$W$301,209)+1),"")</f>
        <v/>
      </c>
      <c r="Z210">
        <f>IF(INDEX(Stammdaten!$B$3:$B$303,210)="","",IFERROR(MATCH(INDEX(Stammdaten!$A$3:$A$303,210),Kategorien,0),999)*1000+209)</f>
        <v/>
      </c>
      <c r="AA210">
        <f>IFERROR(SMALL($Z$2:$Z$301,209),"")</f>
        <v/>
      </c>
      <c r="AB210">
        <f>IF($AA210="","",INDEX(Stammdaten!$A$3:$A$303,MOD($AA210,1000)+1)&amp;"")</f>
        <v/>
      </c>
      <c r="AC210">
        <f>IF($AA210="","",INDEX(Stammdaten!$B$3:$B$303,MOD($AA210,1000)+1))</f>
        <v/>
      </c>
    </row>
    <row r="211">
      <c r="T211">
        <f>IF(INDEX(Stammdaten!$I$3:$I$303,211)="","",210)</f>
        <v/>
      </c>
      <c r="U211">
        <f>IFERROR(INDEX(Stammdaten!$I$3:$I$303,SMALL($T$2:$T$301,210)+1),"")</f>
        <v/>
      </c>
      <c r="W211">
        <f>IF(INDEX(Stammdaten!$H$3:$H$303,211)="","",210)</f>
        <v/>
      </c>
      <c r="X211">
        <f>IFERROR(INDEX(Stammdaten!$H$3:$H$303,SMALL($W$2:$W$301,210)+1),"")</f>
        <v/>
      </c>
      <c r="Z211">
        <f>IF(INDEX(Stammdaten!$B$3:$B$303,211)="","",IFERROR(MATCH(INDEX(Stammdaten!$A$3:$A$303,211),Kategorien,0),999)*1000+210)</f>
        <v/>
      </c>
      <c r="AA211">
        <f>IFERROR(SMALL($Z$2:$Z$301,210),"")</f>
        <v/>
      </c>
      <c r="AB211">
        <f>IF($AA211="","",INDEX(Stammdaten!$A$3:$A$303,MOD($AA211,1000)+1)&amp;"")</f>
        <v/>
      </c>
      <c r="AC211">
        <f>IF($AA211="","",INDEX(Stammdaten!$B$3:$B$303,MOD($AA211,1000)+1))</f>
        <v/>
      </c>
    </row>
    <row r="212">
      <c r="T212">
        <f>IF(INDEX(Stammdaten!$I$3:$I$303,212)="","",211)</f>
        <v/>
      </c>
      <c r="U212">
        <f>IFERROR(INDEX(Stammdaten!$I$3:$I$303,SMALL($T$2:$T$301,211)+1),"")</f>
        <v/>
      </c>
      <c r="W212">
        <f>IF(INDEX(Stammdaten!$H$3:$H$303,212)="","",211)</f>
        <v/>
      </c>
      <c r="X212">
        <f>IFERROR(INDEX(Stammdaten!$H$3:$H$303,SMALL($W$2:$W$301,211)+1),"")</f>
        <v/>
      </c>
      <c r="Z212">
        <f>IF(INDEX(Stammdaten!$B$3:$B$303,212)="","",IFERROR(MATCH(INDEX(Stammdaten!$A$3:$A$303,212),Kategorien,0),999)*1000+211)</f>
        <v/>
      </c>
      <c r="AA212">
        <f>IFERROR(SMALL($Z$2:$Z$301,211),"")</f>
        <v/>
      </c>
      <c r="AB212">
        <f>IF($AA212="","",INDEX(Stammdaten!$A$3:$A$303,MOD($AA212,1000)+1)&amp;"")</f>
        <v/>
      </c>
      <c r="AC212">
        <f>IF($AA212="","",INDEX(Stammdaten!$B$3:$B$303,MOD($AA212,1000)+1))</f>
        <v/>
      </c>
    </row>
    <row r="213">
      <c r="T213">
        <f>IF(INDEX(Stammdaten!$I$3:$I$303,213)="","",212)</f>
        <v/>
      </c>
      <c r="U213">
        <f>IFERROR(INDEX(Stammdaten!$I$3:$I$303,SMALL($T$2:$T$301,212)+1),"")</f>
        <v/>
      </c>
      <c r="W213">
        <f>IF(INDEX(Stammdaten!$H$3:$H$303,213)="","",212)</f>
        <v/>
      </c>
      <c r="X213">
        <f>IFERROR(INDEX(Stammdaten!$H$3:$H$303,SMALL($W$2:$W$301,212)+1),"")</f>
        <v/>
      </c>
      <c r="Z213">
        <f>IF(INDEX(Stammdaten!$B$3:$B$303,213)="","",IFERROR(MATCH(INDEX(Stammdaten!$A$3:$A$303,213),Kategorien,0),999)*1000+212)</f>
        <v/>
      </c>
      <c r="AA213">
        <f>IFERROR(SMALL($Z$2:$Z$301,212),"")</f>
        <v/>
      </c>
      <c r="AB213">
        <f>IF($AA213="","",INDEX(Stammdaten!$A$3:$A$303,MOD($AA213,1000)+1)&amp;"")</f>
        <v/>
      </c>
      <c r="AC213">
        <f>IF($AA213="","",INDEX(Stammdaten!$B$3:$B$303,MOD($AA213,1000)+1))</f>
        <v/>
      </c>
    </row>
    <row r="214">
      <c r="T214">
        <f>IF(INDEX(Stammdaten!$I$3:$I$303,214)="","",213)</f>
        <v/>
      </c>
      <c r="U214">
        <f>IFERROR(INDEX(Stammdaten!$I$3:$I$303,SMALL($T$2:$T$301,213)+1),"")</f>
        <v/>
      </c>
      <c r="W214">
        <f>IF(INDEX(Stammdaten!$H$3:$H$303,214)="","",213)</f>
        <v/>
      </c>
      <c r="X214">
        <f>IFERROR(INDEX(Stammdaten!$H$3:$H$303,SMALL($W$2:$W$301,213)+1),"")</f>
        <v/>
      </c>
      <c r="Z214">
        <f>IF(INDEX(Stammdaten!$B$3:$B$303,214)="","",IFERROR(MATCH(INDEX(Stammdaten!$A$3:$A$303,214),Kategorien,0),999)*1000+213)</f>
        <v/>
      </c>
      <c r="AA214">
        <f>IFERROR(SMALL($Z$2:$Z$301,213),"")</f>
        <v/>
      </c>
      <c r="AB214">
        <f>IF($AA214="","",INDEX(Stammdaten!$A$3:$A$303,MOD($AA214,1000)+1)&amp;"")</f>
        <v/>
      </c>
      <c r="AC214">
        <f>IF($AA214="","",INDEX(Stammdaten!$B$3:$B$303,MOD($AA214,1000)+1))</f>
        <v/>
      </c>
    </row>
    <row r="215">
      <c r="T215">
        <f>IF(INDEX(Stammdaten!$I$3:$I$303,215)="","",214)</f>
        <v/>
      </c>
      <c r="U215">
        <f>IFERROR(INDEX(Stammdaten!$I$3:$I$303,SMALL($T$2:$T$301,214)+1),"")</f>
        <v/>
      </c>
      <c r="W215">
        <f>IF(INDEX(Stammdaten!$H$3:$H$303,215)="","",214)</f>
        <v/>
      </c>
      <c r="X215">
        <f>IFERROR(INDEX(Stammdaten!$H$3:$H$303,SMALL($W$2:$W$301,214)+1),"")</f>
        <v/>
      </c>
      <c r="Z215">
        <f>IF(INDEX(Stammdaten!$B$3:$B$303,215)="","",IFERROR(MATCH(INDEX(Stammdaten!$A$3:$A$303,215),Kategorien,0),999)*1000+214)</f>
        <v/>
      </c>
      <c r="AA215">
        <f>IFERROR(SMALL($Z$2:$Z$301,214),"")</f>
        <v/>
      </c>
      <c r="AB215">
        <f>IF($AA215="","",INDEX(Stammdaten!$A$3:$A$303,MOD($AA215,1000)+1)&amp;"")</f>
        <v/>
      </c>
      <c r="AC215">
        <f>IF($AA215="","",INDEX(Stammdaten!$B$3:$B$303,MOD($AA215,1000)+1))</f>
        <v/>
      </c>
    </row>
    <row r="216">
      <c r="T216">
        <f>IF(INDEX(Stammdaten!$I$3:$I$303,216)="","",215)</f>
        <v/>
      </c>
      <c r="U216">
        <f>IFERROR(INDEX(Stammdaten!$I$3:$I$303,SMALL($T$2:$T$301,215)+1),"")</f>
        <v/>
      </c>
      <c r="W216">
        <f>IF(INDEX(Stammdaten!$H$3:$H$303,216)="","",215)</f>
        <v/>
      </c>
      <c r="X216">
        <f>IFERROR(INDEX(Stammdaten!$H$3:$H$303,SMALL($W$2:$W$301,215)+1),"")</f>
        <v/>
      </c>
      <c r="Z216">
        <f>IF(INDEX(Stammdaten!$B$3:$B$303,216)="","",IFERROR(MATCH(INDEX(Stammdaten!$A$3:$A$303,216),Kategorien,0),999)*1000+215)</f>
        <v/>
      </c>
      <c r="AA216">
        <f>IFERROR(SMALL($Z$2:$Z$301,215),"")</f>
        <v/>
      </c>
      <c r="AB216">
        <f>IF($AA216="","",INDEX(Stammdaten!$A$3:$A$303,MOD($AA216,1000)+1)&amp;"")</f>
        <v/>
      </c>
      <c r="AC216">
        <f>IF($AA216="","",INDEX(Stammdaten!$B$3:$B$303,MOD($AA216,1000)+1))</f>
        <v/>
      </c>
    </row>
    <row r="217">
      <c r="T217">
        <f>IF(INDEX(Stammdaten!$I$3:$I$303,217)="","",216)</f>
        <v/>
      </c>
      <c r="U217">
        <f>IFERROR(INDEX(Stammdaten!$I$3:$I$303,SMALL($T$2:$T$301,216)+1),"")</f>
        <v/>
      </c>
      <c r="W217">
        <f>IF(INDEX(Stammdaten!$H$3:$H$303,217)="","",216)</f>
        <v/>
      </c>
      <c r="X217">
        <f>IFERROR(INDEX(Stammdaten!$H$3:$H$303,SMALL($W$2:$W$301,216)+1),"")</f>
        <v/>
      </c>
      <c r="Z217">
        <f>IF(INDEX(Stammdaten!$B$3:$B$303,217)="","",IFERROR(MATCH(INDEX(Stammdaten!$A$3:$A$303,217),Kategorien,0),999)*1000+216)</f>
        <v/>
      </c>
      <c r="AA217">
        <f>IFERROR(SMALL($Z$2:$Z$301,216),"")</f>
        <v/>
      </c>
      <c r="AB217">
        <f>IF($AA217="","",INDEX(Stammdaten!$A$3:$A$303,MOD($AA217,1000)+1)&amp;"")</f>
        <v/>
      </c>
      <c r="AC217">
        <f>IF($AA217="","",INDEX(Stammdaten!$B$3:$B$303,MOD($AA217,1000)+1))</f>
        <v/>
      </c>
    </row>
    <row r="218">
      <c r="T218">
        <f>IF(INDEX(Stammdaten!$I$3:$I$303,218)="","",217)</f>
        <v/>
      </c>
      <c r="U218">
        <f>IFERROR(INDEX(Stammdaten!$I$3:$I$303,SMALL($T$2:$T$301,217)+1),"")</f>
        <v/>
      </c>
      <c r="W218">
        <f>IF(INDEX(Stammdaten!$H$3:$H$303,218)="","",217)</f>
        <v/>
      </c>
      <c r="X218">
        <f>IFERROR(INDEX(Stammdaten!$H$3:$H$303,SMALL($W$2:$W$301,217)+1),"")</f>
        <v/>
      </c>
      <c r="Z218">
        <f>IF(INDEX(Stammdaten!$B$3:$B$303,218)="","",IFERROR(MATCH(INDEX(Stammdaten!$A$3:$A$303,218),Kategorien,0),999)*1000+217)</f>
        <v/>
      </c>
      <c r="AA218">
        <f>IFERROR(SMALL($Z$2:$Z$301,217),"")</f>
        <v/>
      </c>
      <c r="AB218">
        <f>IF($AA218="","",INDEX(Stammdaten!$A$3:$A$303,MOD($AA218,1000)+1)&amp;"")</f>
        <v/>
      </c>
      <c r="AC218">
        <f>IF($AA218="","",INDEX(Stammdaten!$B$3:$B$303,MOD($AA218,1000)+1))</f>
        <v/>
      </c>
    </row>
    <row r="219">
      <c r="T219">
        <f>IF(INDEX(Stammdaten!$I$3:$I$303,219)="","",218)</f>
        <v/>
      </c>
      <c r="U219">
        <f>IFERROR(INDEX(Stammdaten!$I$3:$I$303,SMALL($T$2:$T$301,218)+1),"")</f>
        <v/>
      </c>
      <c r="W219">
        <f>IF(INDEX(Stammdaten!$H$3:$H$303,219)="","",218)</f>
        <v/>
      </c>
      <c r="X219">
        <f>IFERROR(INDEX(Stammdaten!$H$3:$H$303,SMALL($W$2:$W$301,218)+1),"")</f>
        <v/>
      </c>
      <c r="Z219">
        <f>IF(INDEX(Stammdaten!$B$3:$B$303,219)="","",IFERROR(MATCH(INDEX(Stammdaten!$A$3:$A$303,219),Kategorien,0),999)*1000+218)</f>
        <v/>
      </c>
      <c r="AA219">
        <f>IFERROR(SMALL($Z$2:$Z$301,218),"")</f>
        <v/>
      </c>
      <c r="AB219">
        <f>IF($AA219="","",INDEX(Stammdaten!$A$3:$A$303,MOD($AA219,1000)+1)&amp;"")</f>
        <v/>
      </c>
      <c r="AC219">
        <f>IF($AA219="","",INDEX(Stammdaten!$B$3:$B$303,MOD($AA219,1000)+1))</f>
        <v/>
      </c>
    </row>
    <row r="220">
      <c r="T220">
        <f>IF(INDEX(Stammdaten!$I$3:$I$303,220)="","",219)</f>
        <v/>
      </c>
      <c r="U220">
        <f>IFERROR(INDEX(Stammdaten!$I$3:$I$303,SMALL($T$2:$T$301,219)+1),"")</f>
        <v/>
      </c>
      <c r="W220">
        <f>IF(INDEX(Stammdaten!$H$3:$H$303,220)="","",219)</f>
        <v/>
      </c>
      <c r="X220">
        <f>IFERROR(INDEX(Stammdaten!$H$3:$H$303,SMALL($W$2:$W$301,219)+1),"")</f>
        <v/>
      </c>
      <c r="Z220">
        <f>IF(INDEX(Stammdaten!$B$3:$B$303,220)="","",IFERROR(MATCH(INDEX(Stammdaten!$A$3:$A$303,220),Kategorien,0),999)*1000+219)</f>
        <v/>
      </c>
      <c r="AA220">
        <f>IFERROR(SMALL($Z$2:$Z$301,219),"")</f>
        <v/>
      </c>
      <c r="AB220">
        <f>IF($AA220="","",INDEX(Stammdaten!$A$3:$A$303,MOD($AA220,1000)+1)&amp;"")</f>
        <v/>
      </c>
      <c r="AC220">
        <f>IF($AA220="","",INDEX(Stammdaten!$B$3:$B$303,MOD($AA220,1000)+1))</f>
        <v/>
      </c>
    </row>
    <row r="221">
      <c r="T221">
        <f>IF(INDEX(Stammdaten!$I$3:$I$303,221)="","",220)</f>
        <v/>
      </c>
      <c r="U221">
        <f>IFERROR(INDEX(Stammdaten!$I$3:$I$303,SMALL($T$2:$T$301,220)+1),"")</f>
        <v/>
      </c>
      <c r="W221">
        <f>IF(INDEX(Stammdaten!$H$3:$H$303,221)="","",220)</f>
        <v/>
      </c>
      <c r="X221">
        <f>IFERROR(INDEX(Stammdaten!$H$3:$H$303,SMALL($W$2:$W$301,220)+1),"")</f>
        <v/>
      </c>
      <c r="Z221">
        <f>IF(INDEX(Stammdaten!$B$3:$B$303,221)="","",IFERROR(MATCH(INDEX(Stammdaten!$A$3:$A$303,221),Kategorien,0),999)*1000+220)</f>
        <v/>
      </c>
      <c r="AA221">
        <f>IFERROR(SMALL($Z$2:$Z$301,220),"")</f>
        <v/>
      </c>
      <c r="AB221">
        <f>IF($AA221="","",INDEX(Stammdaten!$A$3:$A$303,MOD($AA221,1000)+1)&amp;"")</f>
        <v/>
      </c>
      <c r="AC221">
        <f>IF($AA221="","",INDEX(Stammdaten!$B$3:$B$303,MOD($AA221,1000)+1))</f>
        <v/>
      </c>
    </row>
    <row r="222">
      <c r="T222">
        <f>IF(INDEX(Stammdaten!$I$3:$I$303,222)="","",221)</f>
        <v/>
      </c>
      <c r="U222">
        <f>IFERROR(INDEX(Stammdaten!$I$3:$I$303,SMALL($T$2:$T$301,221)+1),"")</f>
        <v/>
      </c>
      <c r="W222">
        <f>IF(INDEX(Stammdaten!$H$3:$H$303,222)="","",221)</f>
        <v/>
      </c>
      <c r="X222">
        <f>IFERROR(INDEX(Stammdaten!$H$3:$H$303,SMALL($W$2:$W$301,221)+1),"")</f>
        <v/>
      </c>
      <c r="Z222">
        <f>IF(INDEX(Stammdaten!$B$3:$B$303,222)="","",IFERROR(MATCH(INDEX(Stammdaten!$A$3:$A$303,222),Kategorien,0),999)*1000+221)</f>
        <v/>
      </c>
      <c r="AA222">
        <f>IFERROR(SMALL($Z$2:$Z$301,221),"")</f>
        <v/>
      </c>
      <c r="AB222">
        <f>IF($AA222="","",INDEX(Stammdaten!$A$3:$A$303,MOD($AA222,1000)+1)&amp;"")</f>
        <v/>
      </c>
      <c r="AC222">
        <f>IF($AA222="","",INDEX(Stammdaten!$B$3:$B$303,MOD($AA222,1000)+1))</f>
        <v/>
      </c>
    </row>
    <row r="223">
      <c r="T223">
        <f>IF(INDEX(Stammdaten!$I$3:$I$303,223)="","",222)</f>
        <v/>
      </c>
      <c r="U223">
        <f>IFERROR(INDEX(Stammdaten!$I$3:$I$303,SMALL($T$2:$T$301,222)+1),"")</f>
        <v/>
      </c>
      <c r="W223">
        <f>IF(INDEX(Stammdaten!$H$3:$H$303,223)="","",222)</f>
        <v/>
      </c>
      <c r="X223">
        <f>IFERROR(INDEX(Stammdaten!$H$3:$H$303,SMALL($W$2:$W$301,222)+1),"")</f>
        <v/>
      </c>
      <c r="Z223">
        <f>IF(INDEX(Stammdaten!$B$3:$B$303,223)="","",IFERROR(MATCH(INDEX(Stammdaten!$A$3:$A$303,223),Kategorien,0),999)*1000+222)</f>
        <v/>
      </c>
      <c r="AA223">
        <f>IFERROR(SMALL($Z$2:$Z$301,222),"")</f>
        <v/>
      </c>
      <c r="AB223">
        <f>IF($AA223="","",INDEX(Stammdaten!$A$3:$A$303,MOD($AA223,1000)+1)&amp;"")</f>
        <v/>
      </c>
      <c r="AC223">
        <f>IF($AA223="","",INDEX(Stammdaten!$B$3:$B$303,MOD($AA223,1000)+1))</f>
        <v/>
      </c>
    </row>
    <row r="224">
      <c r="T224">
        <f>IF(INDEX(Stammdaten!$I$3:$I$303,224)="","",223)</f>
        <v/>
      </c>
      <c r="U224">
        <f>IFERROR(INDEX(Stammdaten!$I$3:$I$303,SMALL($T$2:$T$301,223)+1),"")</f>
        <v/>
      </c>
      <c r="W224">
        <f>IF(INDEX(Stammdaten!$H$3:$H$303,224)="","",223)</f>
        <v/>
      </c>
      <c r="X224">
        <f>IFERROR(INDEX(Stammdaten!$H$3:$H$303,SMALL($W$2:$W$301,223)+1),"")</f>
        <v/>
      </c>
      <c r="Z224">
        <f>IF(INDEX(Stammdaten!$B$3:$B$303,224)="","",IFERROR(MATCH(INDEX(Stammdaten!$A$3:$A$303,224),Kategorien,0),999)*1000+223)</f>
        <v/>
      </c>
      <c r="AA224">
        <f>IFERROR(SMALL($Z$2:$Z$301,223),"")</f>
        <v/>
      </c>
      <c r="AB224">
        <f>IF($AA224="","",INDEX(Stammdaten!$A$3:$A$303,MOD($AA224,1000)+1)&amp;"")</f>
        <v/>
      </c>
      <c r="AC224">
        <f>IF($AA224="","",INDEX(Stammdaten!$B$3:$B$303,MOD($AA224,1000)+1))</f>
        <v/>
      </c>
    </row>
    <row r="225">
      <c r="T225">
        <f>IF(INDEX(Stammdaten!$I$3:$I$303,225)="","",224)</f>
        <v/>
      </c>
      <c r="U225">
        <f>IFERROR(INDEX(Stammdaten!$I$3:$I$303,SMALL($T$2:$T$301,224)+1),"")</f>
        <v/>
      </c>
      <c r="W225">
        <f>IF(INDEX(Stammdaten!$H$3:$H$303,225)="","",224)</f>
        <v/>
      </c>
      <c r="X225">
        <f>IFERROR(INDEX(Stammdaten!$H$3:$H$303,SMALL($W$2:$W$301,224)+1),"")</f>
        <v/>
      </c>
      <c r="Z225">
        <f>IF(INDEX(Stammdaten!$B$3:$B$303,225)="","",IFERROR(MATCH(INDEX(Stammdaten!$A$3:$A$303,225),Kategorien,0),999)*1000+224)</f>
        <v/>
      </c>
      <c r="AA225">
        <f>IFERROR(SMALL($Z$2:$Z$301,224),"")</f>
        <v/>
      </c>
      <c r="AB225">
        <f>IF($AA225="","",INDEX(Stammdaten!$A$3:$A$303,MOD($AA225,1000)+1)&amp;"")</f>
        <v/>
      </c>
      <c r="AC225">
        <f>IF($AA225="","",INDEX(Stammdaten!$B$3:$B$303,MOD($AA225,1000)+1))</f>
        <v/>
      </c>
    </row>
    <row r="226">
      <c r="T226">
        <f>IF(INDEX(Stammdaten!$I$3:$I$303,226)="","",225)</f>
        <v/>
      </c>
      <c r="U226">
        <f>IFERROR(INDEX(Stammdaten!$I$3:$I$303,SMALL($T$2:$T$301,225)+1),"")</f>
        <v/>
      </c>
      <c r="W226">
        <f>IF(INDEX(Stammdaten!$H$3:$H$303,226)="","",225)</f>
        <v/>
      </c>
      <c r="X226">
        <f>IFERROR(INDEX(Stammdaten!$H$3:$H$303,SMALL($W$2:$W$301,225)+1),"")</f>
        <v/>
      </c>
      <c r="Z226">
        <f>IF(INDEX(Stammdaten!$B$3:$B$303,226)="","",IFERROR(MATCH(INDEX(Stammdaten!$A$3:$A$303,226),Kategorien,0),999)*1000+225)</f>
        <v/>
      </c>
      <c r="AA226">
        <f>IFERROR(SMALL($Z$2:$Z$301,225),"")</f>
        <v/>
      </c>
      <c r="AB226">
        <f>IF($AA226="","",INDEX(Stammdaten!$A$3:$A$303,MOD($AA226,1000)+1)&amp;"")</f>
        <v/>
      </c>
      <c r="AC226">
        <f>IF($AA226="","",INDEX(Stammdaten!$B$3:$B$303,MOD($AA226,1000)+1))</f>
        <v/>
      </c>
    </row>
    <row r="227">
      <c r="T227">
        <f>IF(INDEX(Stammdaten!$I$3:$I$303,227)="","",226)</f>
        <v/>
      </c>
      <c r="U227">
        <f>IFERROR(INDEX(Stammdaten!$I$3:$I$303,SMALL($T$2:$T$301,226)+1),"")</f>
        <v/>
      </c>
      <c r="W227">
        <f>IF(INDEX(Stammdaten!$H$3:$H$303,227)="","",226)</f>
        <v/>
      </c>
      <c r="X227">
        <f>IFERROR(INDEX(Stammdaten!$H$3:$H$303,SMALL($W$2:$W$301,226)+1),"")</f>
        <v/>
      </c>
      <c r="Z227">
        <f>IF(INDEX(Stammdaten!$B$3:$B$303,227)="","",IFERROR(MATCH(INDEX(Stammdaten!$A$3:$A$303,227),Kategorien,0),999)*1000+226)</f>
        <v/>
      </c>
      <c r="AA227">
        <f>IFERROR(SMALL($Z$2:$Z$301,226),"")</f>
        <v/>
      </c>
      <c r="AB227">
        <f>IF($AA227="","",INDEX(Stammdaten!$A$3:$A$303,MOD($AA227,1000)+1)&amp;"")</f>
        <v/>
      </c>
      <c r="AC227">
        <f>IF($AA227="","",INDEX(Stammdaten!$B$3:$B$303,MOD($AA227,1000)+1))</f>
        <v/>
      </c>
    </row>
    <row r="228">
      <c r="T228">
        <f>IF(INDEX(Stammdaten!$I$3:$I$303,228)="","",227)</f>
        <v/>
      </c>
      <c r="U228">
        <f>IFERROR(INDEX(Stammdaten!$I$3:$I$303,SMALL($T$2:$T$301,227)+1),"")</f>
        <v/>
      </c>
      <c r="W228">
        <f>IF(INDEX(Stammdaten!$H$3:$H$303,228)="","",227)</f>
        <v/>
      </c>
      <c r="X228">
        <f>IFERROR(INDEX(Stammdaten!$H$3:$H$303,SMALL($W$2:$W$301,227)+1),"")</f>
        <v/>
      </c>
      <c r="Z228">
        <f>IF(INDEX(Stammdaten!$B$3:$B$303,228)="","",IFERROR(MATCH(INDEX(Stammdaten!$A$3:$A$303,228),Kategorien,0),999)*1000+227)</f>
        <v/>
      </c>
      <c r="AA228">
        <f>IFERROR(SMALL($Z$2:$Z$301,227),"")</f>
        <v/>
      </c>
      <c r="AB228">
        <f>IF($AA228="","",INDEX(Stammdaten!$A$3:$A$303,MOD($AA228,1000)+1)&amp;"")</f>
        <v/>
      </c>
      <c r="AC228">
        <f>IF($AA228="","",INDEX(Stammdaten!$B$3:$B$303,MOD($AA228,1000)+1))</f>
        <v/>
      </c>
    </row>
    <row r="229">
      <c r="T229">
        <f>IF(INDEX(Stammdaten!$I$3:$I$303,229)="","",228)</f>
        <v/>
      </c>
      <c r="U229">
        <f>IFERROR(INDEX(Stammdaten!$I$3:$I$303,SMALL($T$2:$T$301,228)+1),"")</f>
        <v/>
      </c>
      <c r="W229">
        <f>IF(INDEX(Stammdaten!$H$3:$H$303,229)="","",228)</f>
        <v/>
      </c>
      <c r="X229">
        <f>IFERROR(INDEX(Stammdaten!$H$3:$H$303,SMALL($W$2:$W$301,228)+1),"")</f>
        <v/>
      </c>
      <c r="Z229">
        <f>IF(INDEX(Stammdaten!$B$3:$B$303,229)="","",IFERROR(MATCH(INDEX(Stammdaten!$A$3:$A$303,229),Kategorien,0),999)*1000+228)</f>
        <v/>
      </c>
      <c r="AA229">
        <f>IFERROR(SMALL($Z$2:$Z$301,228),"")</f>
        <v/>
      </c>
      <c r="AB229">
        <f>IF($AA229="","",INDEX(Stammdaten!$A$3:$A$303,MOD($AA229,1000)+1)&amp;"")</f>
        <v/>
      </c>
      <c r="AC229">
        <f>IF($AA229="","",INDEX(Stammdaten!$B$3:$B$303,MOD($AA229,1000)+1))</f>
        <v/>
      </c>
    </row>
    <row r="230">
      <c r="T230">
        <f>IF(INDEX(Stammdaten!$I$3:$I$303,230)="","",229)</f>
        <v/>
      </c>
      <c r="U230">
        <f>IFERROR(INDEX(Stammdaten!$I$3:$I$303,SMALL($T$2:$T$301,229)+1),"")</f>
        <v/>
      </c>
      <c r="W230">
        <f>IF(INDEX(Stammdaten!$H$3:$H$303,230)="","",229)</f>
        <v/>
      </c>
      <c r="X230">
        <f>IFERROR(INDEX(Stammdaten!$H$3:$H$303,SMALL($W$2:$W$301,229)+1),"")</f>
        <v/>
      </c>
      <c r="Z230">
        <f>IF(INDEX(Stammdaten!$B$3:$B$303,230)="","",IFERROR(MATCH(INDEX(Stammdaten!$A$3:$A$303,230),Kategorien,0),999)*1000+229)</f>
        <v/>
      </c>
      <c r="AA230">
        <f>IFERROR(SMALL($Z$2:$Z$301,229),"")</f>
        <v/>
      </c>
      <c r="AB230">
        <f>IF($AA230="","",INDEX(Stammdaten!$A$3:$A$303,MOD($AA230,1000)+1)&amp;"")</f>
        <v/>
      </c>
      <c r="AC230">
        <f>IF($AA230="","",INDEX(Stammdaten!$B$3:$B$303,MOD($AA230,1000)+1))</f>
        <v/>
      </c>
    </row>
    <row r="231">
      <c r="T231">
        <f>IF(INDEX(Stammdaten!$I$3:$I$303,231)="","",230)</f>
        <v/>
      </c>
      <c r="U231">
        <f>IFERROR(INDEX(Stammdaten!$I$3:$I$303,SMALL($T$2:$T$301,230)+1),"")</f>
        <v/>
      </c>
      <c r="W231">
        <f>IF(INDEX(Stammdaten!$H$3:$H$303,231)="","",230)</f>
        <v/>
      </c>
      <c r="X231">
        <f>IFERROR(INDEX(Stammdaten!$H$3:$H$303,SMALL($W$2:$W$301,230)+1),"")</f>
        <v/>
      </c>
      <c r="Z231">
        <f>IF(INDEX(Stammdaten!$B$3:$B$303,231)="","",IFERROR(MATCH(INDEX(Stammdaten!$A$3:$A$303,231),Kategorien,0),999)*1000+230)</f>
        <v/>
      </c>
      <c r="AA231">
        <f>IFERROR(SMALL($Z$2:$Z$301,230),"")</f>
        <v/>
      </c>
      <c r="AB231">
        <f>IF($AA231="","",INDEX(Stammdaten!$A$3:$A$303,MOD($AA231,1000)+1)&amp;"")</f>
        <v/>
      </c>
      <c r="AC231">
        <f>IF($AA231="","",INDEX(Stammdaten!$B$3:$B$303,MOD($AA231,1000)+1))</f>
        <v/>
      </c>
    </row>
    <row r="232">
      <c r="T232">
        <f>IF(INDEX(Stammdaten!$I$3:$I$303,232)="","",231)</f>
        <v/>
      </c>
      <c r="U232">
        <f>IFERROR(INDEX(Stammdaten!$I$3:$I$303,SMALL($T$2:$T$301,231)+1),"")</f>
        <v/>
      </c>
      <c r="W232">
        <f>IF(INDEX(Stammdaten!$H$3:$H$303,232)="","",231)</f>
        <v/>
      </c>
      <c r="X232">
        <f>IFERROR(INDEX(Stammdaten!$H$3:$H$303,SMALL($W$2:$W$301,231)+1),"")</f>
        <v/>
      </c>
      <c r="Z232">
        <f>IF(INDEX(Stammdaten!$B$3:$B$303,232)="","",IFERROR(MATCH(INDEX(Stammdaten!$A$3:$A$303,232),Kategorien,0),999)*1000+231)</f>
        <v/>
      </c>
      <c r="AA232">
        <f>IFERROR(SMALL($Z$2:$Z$301,231),"")</f>
        <v/>
      </c>
      <c r="AB232">
        <f>IF($AA232="","",INDEX(Stammdaten!$A$3:$A$303,MOD($AA232,1000)+1)&amp;"")</f>
        <v/>
      </c>
      <c r="AC232">
        <f>IF($AA232="","",INDEX(Stammdaten!$B$3:$B$303,MOD($AA232,1000)+1))</f>
        <v/>
      </c>
    </row>
    <row r="233">
      <c r="T233">
        <f>IF(INDEX(Stammdaten!$I$3:$I$303,233)="","",232)</f>
        <v/>
      </c>
      <c r="U233">
        <f>IFERROR(INDEX(Stammdaten!$I$3:$I$303,SMALL($T$2:$T$301,232)+1),"")</f>
        <v/>
      </c>
      <c r="W233">
        <f>IF(INDEX(Stammdaten!$H$3:$H$303,233)="","",232)</f>
        <v/>
      </c>
      <c r="X233">
        <f>IFERROR(INDEX(Stammdaten!$H$3:$H$303,SMALL($W$2:$W$301,232)+1),"")</f>
        <v/>
      </c>
      <c r="Z233">
        <f>IF(INDEX(Stammdaten!$B$3:$B$303,233)="","",IFERROR(MATCH(INDEX(Stammdaten!$A$3:$A$303,233),Kategorien,0),999)*1000+232)</f>
        <v/>
      </c>
      <c r="AA233">
        <f>IFERROR(SMALL($Z$2:$Z$301,232),"")</f>
        <v/>
      </c>
      <c r="AB233">
        <f>IF($AA233="","",INDEX(Stammdaten!$A$3:$A$303,MOD($AA233,1000)+1)&amp;"")</f>
        <v/>
      </c>
      <c r="AC233">
        <f>IF($AA233="","",INDEX(Stammdaten!$B$3:$B$303,MOD($AA233,1000)+1))</f>
        <v/>
      </c>
    </row>
    <row r="234">
      <c r="T234">
        <f>IF(INDEX(Stammdaten!$I$3:$I$303,234)="","",233)</f>
        <v/>
      </c>
      <c r="U234">
        <f>IFERROR(INDEX(Stammdaten!$I$3:$I$303,SMALL($T$2:$T$301,233)+1),"")</f>
        <v/>
      </c>
      <c r="W234">
        <f>IF(INDEX(Stammdaten!$H$3:$H$303,234)="","",233)</f>
        <v/>
      </c>
      <c r="X234">
        <f>IFERROR(INDEX(Stammdaten!$H$3:$H$303,SMALL($W$2:$W$301,233)+1),"")</f>
        <v/>
      </c>
      <c r="Z234">
        <f>IF(INDEX(Stammdaten!$B$3:$B$303,234)="","",IFERROR(MATCH(INDEX(Stammdaten!$A$3:$A$303,234),Kategorien,0),999)*1000+233)</f>
        <v/>
      </c>
      <c r="AA234">
        <f>IFERROR(SMALL($Z$2:$Z$301,233),"")</f>
        <v/>
      </c>
      <c r="AB234">
        <f>IF($AA234="","",INDEX(Stammdaten!$A$3:$A$303,MOD($AA234,1000)+1)&amp;"")</f>
        <v/>
      </c>
      <c r="AC234">
        <f>IF($AA234="","",INDEX(Stammdaten!$B$3:$B$303,MOD($AA234,1000)+1))</f>
        <v/>
      </c>
    </row>
    <row r="235">
      <c r="T235">
        <f>IF(INDEX(Stammdaten!$I$3:$I$303,235)="","",234)</f>
        <v/>
      </c>
      <c r="U235">
        <f>IFERROR(INDEX(Stammdaten!$I$3:$I$303,SMALL($T$2:$T$301,234)+1),"")</f>
        <v/>
      </c>
      <c r="W235">
        <f>IF(INDEX(Stammdaten!$H$3:$H$303,235)="","",234)</f>
        <v/>
      </c>
      <c r="X235">
        <f>IFERROR(INDEX(Stammdaten!$H$3:$H$303,SMALL($W$2:$W$301,234)+1),"")</f>
        <v/>
      </c>
      <c r="Z235">
        <f>IF(INDEX(Stammdaten!$B$3:$B$303,235)="","",IFERROR(MATCH(INDEX(Stammdaten!$A$3:$A$303,235),Kategorien,0),999)*1000+234)</f>
        <v/>
      </c>
      <c r="AA235">
        <f>IFERROR(SMALL($Z$2:$Z$301,234),"")</f>
        <v/>
      </c>
      <c r="AB235">
        <f>IF($AA235="","",INDEX(Stammdaten!$A$3:$A$303,MOD($AA235,1000)+1)&amp;"")</f>
        <v/>
      </c>
      <c r="AC235">
        <f>IF($AA235="","",INDEX(Stammdaten!$B$3:$B$303,MOD($AA235,1000)+1))</f>
        <v/>
      </c>
    </row>
    <row r="236">
      <c r="T236">
        <f>IF(INDEX(Stammdaten!$I$3:$I$303,236)="","",235)</f>
        <v/>
      </c>
      <c r="U236">
        <f>IFERROR(INDEX(Stammdaten!$I$3:$I$303,SMALL($T$2:$T$301,235)+1),"")</f>
        <v/>
      </c>
      <c r="W236">
        <f>IF(INDEX(Stammdaten!$H$3:$H$303,236)="","",235)</f>
        <v/>
      </c>
      <c r="X236">
        <f>IFERROR(INDEX(Stammdaten!$H$3:$H$303,SMALL($W$2:$W$301,235)+1),"")</f>
        <v/>
      </c>
      <c r="Z236">
        <f>IF(INDEX(Stammdaten!$B$3:$B$303,236)="","",IFERROR(MATCH(INDEX(Stammdaten!$A$3:$A$303,236),Kategorien,0),999)*1000+235)</f>
        <v/>
      </c>
      <c r="AA236">
        <f>IFERROR(SMALL($Z$2:$Z$301,235),"")</f>
        <v/>
      </c>
      <c r="AB236">
        <f>IF($AA236="","",INDEX(Stammdaten!$A$3:$A$303,MOD($AA236,1000)+1)&amp;"")</f>
        <v/>
      </c>
      <c r="AC236">
        <f>IF($AA236="","",INDEX(Stammdaten!$B$3:$B$303,MOD($AA236,1000)+1))</f>
        <v/>
      </c>
    </row>
    <row r="237">
      <c r="T237">
        <f>IF(INDEX(Stammdaten!$I$3:$I$303,237)="","",236)</f>
        <v/>
      </c>
      <c r="U237">
        <f>IFERROR(INDEX(Stammdaten!$I$3:$I$303,SMALL($T$2:$T$301,236)+1),"")</f>
        <v/>
      </c>
      <c r="W237">
        <f>IF(INDEX(Stammdaten!$H$3:$H$303,237)="","",236)</f>
        <v/>
      </c>
      <c r="X237">
        <f>IFERROR(INDEX(Stammdaten!$H$3:$H$303,SMALL($W$2:$W$301,236)+1),"")</f>
        <v/>
      </c>
      <c r="Z237">
        <f>IF(INDEX(Stammdaten!$B$3:$B$303,237)="","",IFERROR(MATCH(INDEX(Stammdaten!$A$3:$A$303,237),Kategorien,0),999)*1000+236)</f>
        <v/>
      </c>
      <c r="AA237">
        <f>IFERROR(SMALL($Z$2:$Z$301,236),"")</f>
        <v/>
      </c>
      <c r="AB237">
        <f>IF($AA237="","",INDEX(Stammdaten!$A$3:$A$303,MOD($AA237,1000)+1)&amp;"")</f>
        <v/>
      </c>
      <c r="AC237">
        <f>IF($AA237="","",INDEX(Stammdaten!$B$3:$B$303,MOD($AA237,1000)+1))</f>
        <v/>
      </c>
    </row>
    <row r="238">
      <c r="T238">
        <f>IF(INDEX(Stammdaten!$I$3:$I$303,238)="","",237)</f>
        <v/>
      </c>
      <c r="U238">
        <f>IFERROR(INDEX(Stammdaten!$I$3:$I$303,SMALL($T$2:$T$301,237)+1),"")</f>
        <v/>
      </c>
      <c r="W238">
        <f>IF(INDEX(Stammdaten!$H$3:$H$303,238)="","",237)</f>
        <v/>
      </c>
      <c r="X238">
        <f>IFERROR(INDEX(Stammdaten!$H$3:$H$303,SMALL($W$2:$W$301,237)+1),"")</f>
        <v/>
      </c>
      <c r="Z238">
        <f>IF(INDEX(Stammdaten!$B$3:$B$303,238)="","",IFERROR(MATCH(INDEX(Stammdaten!$A$3:$A$303,238),Kategorien,0),999)*1000+237)</f>
        <v/>
      </c>
      <c r="AA238">
        <f>IFERROR(SMALL($Z$2:$Z$301,237),"")</f>
        <v/>
      </c>
      <c r="AB238">
        <f>IF($AA238="","",INDEX(Stammdaten!$A$3:$A$303,MOD($AA238,1000)+1)&amp;"")</f>
        <v/>
      </c>
      <c r="AC238">
        <f>IF($AA238="","",INDEX(Stammdaten!$B$3:$B$303,MOD($AA238,1000)+1))</f>
        <v/>
      </c>
    </row>
    <row r="239">
      <c r="T239">
        <f>IF(INDEX(Stammdaten!$I$3:$I$303,239)="","",238)</f>
        <v/>
      </c>
      <c r="U239">
        <f>IFERROR(INDEX(Stammdaten!$I$3:$I$303,SMALL($T$2:$T$301,238)+1),"")</f>
        <v/>
      </c>
      <c r="W239">
        <f>IF(INDEX(Stammdaten!$H$3:$H$303,239)="","",238)</f>
        <v/>
      </c>
      <c r="X239">
        <f>IFERROR(INDEX(Stammdaten!$H$3:$H$303,SMALL($W$2:$W$301,238)+1),"")</f>
        <v/>
      </c>
      <c r="Z239">
        <f>IF(INDEX(Stammdaten!$B$3:$B$303,239)="","",IFERROR(MATCH(INDEX(Stammdaten!$A$3:$A$303,239),Kategorien,0),999)*1000+238)</f>
        <v/>
      </c>
      <c r="AA239">
        <f>IFERROR(SMALL($Z$2:$Z$301,238),"")</f>
        <v/>
      </c>
      <c r="AB239">
        <f>IF($AA239="","",INDEX(Stammdaten!$A$3:$A$303,MOD($AA239,1000)+1)&amp;"")</f>
        <v/>
      </c>
      <c r="AC239">
        <f>IF($AA239="","",INDEX(Stammdaten!$B$3:$B$303,MOD($AA239,1000)+1))</f>
        <v/>
      </c>
    </row>
    <row r="240">
      <c r="T240">
        <f>IF(INDEX(Stammdaten!$I$3:$I$303,240)="","",239)</f>
        <v/>
      </c>
      <c r="U240">
        <f>IFERROR(INDEX(Stammdaten!$I$3:$I$303,SMALL($T$2:$T$301,239)+1),"")</f>
        <v/>
      </c>
      <c r="W240">
        <f>IF(INDEX(Stammdaten!$H$3:$H$303,240)="","",239)</f>
        <v/>
      </c>
      <c r="X240">
        <f>IFERROR(INDEX(Stammdaten!$H$3:$H$303,SMALL($W$2:$W$301,239)+1),"")</f>
        <v/>
      </c>
      <c r="Z240">
        <f>IF(INDEX(Stammdaten!$B$3:$B$303,240)="","",IFERROR(MATCH(INDEX(Stammdaten!$A$3:$A$303,240),Kategorien,0),999)*1000+239)</f>
        <v/>
      </c>
      <c r="AA240">
        <f>IFERROR(SMALL($Z$2:$Z$301,239),"")</f>
        <v/>
      </c>
      <c r="AB240">
        <f>IF($AA240="","",INDEX(Stammdaten!$A$3:$A$303,MOD($AA240,1000)+1)&amp;"")</f>
        <v/>
      </c>
      <c r="AC240">
        <f>IF($AA240="","",INDEX(Stammdaten!$B$3:$B$303,MOD($AA240,1000)+1))</f>
        <v/>
      </c>
    </row>
    <row r="241">
      <c r="T241">
        <f>IF(INDEX(Stammdaten!$I$3:$I$303,241)="","",240)</f>
        <v/>
      </c>
      <c r="U241">
        <f>IFERROR(INDEX(Stammdaten!$I$3:$I$303,SMALL($T$2:$T$301,240)+1),"")</f>
        <v/>
      </c>
      <c r="W241">
        <f>IF(INDEX(Stammdaten!$H$3:$H$303,241)="","",240)</f>
        <v/>
      </c>
      <c r="X241">
        <f>IFERROR(INDEX(Stammdaten!$H$3:$H$303,SMALL($W$2:$W$301,240)+1),"")</f>
        <v/>
      </c>
      <c r="Z241">
        <f>IF(INDEX(Stammdaten!$B$3:$B$303,241)="","",IFERROR(MATCH(INDEX(Stammdaten!$A$3:$A$303,241),Kategorien,0),999)*1000+240)</f>
        <v/>
      </c>
      <c r="AA241">
        <f>IFERROR(SMALL($Z$2:$Z$301,240),"")</f>
        <v/>
      </c>
      <c r="AB241">
        <f>IF($AA241="","",INDEX(Stammdaten!$A$3:$A$303,MOD($AA241,1000)+1)&amp;"")</f>
        <v/>
      </c>
      <c r="AC241">
        <f>IF($AA241="","",INDEX(Stammdaten!$B$3:$B$303,MOD($AA241,1000)+1))</f>
        <v/>
      </c>
    </row>
    <row r="242">
      <c r="T242">
        <f>IF(INDEX(Stammdaten!$I$3:$I$303,242)="","",241)</f>
        <v/>
      </c>
      <c r="U242">
        <f>IFERROR(INDEX(Stammdaten!$I$3:$I$303,SMALL($T$2:$T$301,241)+1),"")</f>
        <v/>
      </c>
      <c r="W242">
        <f>IF(INDEX(Stammdaten!$H$3:$H$303,242)="","",241)</f>
        <v/>
      </c>
      <c r="X242">
        <f>IFERROR(INDEX(Stammdaten!$H$3:$H$303,SMALL($W$2:$W$301,241)+1),"")</f>
        <v/>
      </c>
      <c r="Z242">
        <f>IF(INDEX(Stammdaten!$B$3:$B$303,242)="","",IFERROR(MATCH(INDEX(Stammdaten!$A$3:$A$303,242),Kategorien,0),999)*1000+241)</f>
        <v/>
      </c>
      <c r="AA242">
        <f>IFERROR(SMALL($Z$2:$Z$301,241),"")</f>
        <v/>
      </c>
      <c r="AB242">
        <f>IF($AA242="","",INDEX(Stammdaten!$A$3:$A$303,MOD($AA242,1000)+1)&amp;"")</f>
        <v/>
      </c>
      <c r="AC242">
        <f>IF($AA242="","",INDEX(Stammdaten!$B$3:$B$303,MOD($AA242,1000)+1))</f>
        <v/>
      </c>
    </row>
    <row r="243">
      <c r="T243">
        <f>IF(INDEX(Stammdaten!$I$3:$I$303,243)="","",242)</f>
        <v/>
      </c>
      <c r="U243">
        <f>IFERROR(INDEX(Stammdaten!$I$3:$I$303,SMALL($T$2:$T$301,242)+1),"")</f>
        <v/>
      </c>
      <c r="W243">
        <f>IF(INDEX(Stammdaten!$H$3:$H$303,243)="","",242)</f>
        <v/>
      </c>
      <c r="X243">
        <f>IFERROR(INDEX(Stammdaten!$H$3:$H$303,SMALL($W$2:$W$301,242)+1),"")</f>
        <v/>
      </c>
      <c r="Z243">
        <f>IF(INDEX(Stammdaten!$B$3:$B$303,243)="","",IFERROR(MATCH(INDEX(Stammdaten!$A$3:$A$303,243),Kategorien,0),999)*1000+242)</f>
        <v/>
      </c>
      <c r="AA243">
        <f>IFERROR(SMALL($Z$2:$Z$301,242),"")</f>
        <v/>
      </c>
      <c r="AB243">
        <f>IF($AA243="","",INDEX(Stammdaten!$A$3:$A$303,MOD($AA243,1000)+1)&amp;"")</f>
        <v/>
      </c>
      <c r="AC243">
        <f>IF($AA243="","",INDEX(Stammdaten!$B$3:$B$303,MOD($AA243,1000)+1))</f>
        <v/>
      </c>
    </row>
    <row r="244">
      <c r="T244">
        <f>IF(INDEX(Stammdaten!$I$3:$I$303,244)="","",243)</f>
        <v/>
      </c>
      <c r="U244">
        <f>IFERROR(INDEX(Stammdaten!$I$3:$I$303,SMALL($T$2:$T$301,243)+1),"")</f>
        <v/>
      </c>
      <c r="W244">
        <f>IF(INDEX(Stammdaten!$H$3:$H$303,244)="","",243)</f>
        <v/>
      </c>
      <c r="X244">
        <f>IFERROR(INDEX(Stammdaten!$H$3:$H$303,SMALL($W$2:$W$301,243)+1),"")</f>
        <v/>
      </c>
      <c r="Z244">
        <f>IF(INDEX(Stammdaten!$B$3:$B$303,244)="","",IFERROR(MATCH(INDEX(Stammdaten!$A$3:$A$303,244),Kategorien,0),999)*1000+243)</f>
        <v/>
      </c>
      <c r="AA244">
        <f>IFERROR(SMALL($Z$2:$Z$301,243),"")</f>
        <v/>
      </c>
      <c r="AB244">
        <f>IF($AA244="","",INDEX(Stammdaten!$A$3:$A$303,MOD($AA244,1000)+1)&amp;"")</f>
        <v/>
      </c>
      <c r="AC244">
        <f>IF($AA244="","",INDEX(Stammdaten!$B$3:$B$303,MOD($AA244,1000)+1))</f>
        <v/>
      </c>
    </row>
    <row r="245">
      <c r="T245">
        <f>IF(INDEX(Stammdaten!$I$3:$I$303,245)="","",244)</f>
        <v/>
      </c>
      <c r="U245">
        <f>IFERROR(INDEX(Stammdaten!$I$3:$I$303,SMALL($T$2:$T$301,244)+1),"")</f>
        <v/>
      </c>
      <c r="W245">
        <f>IF(INDEX(Stammdaten!$H$3:$H$303,245)="","",244)</f>
        <v/>
      </c>
      <c r="X245">
        <f>IFERROR(INDEX(Stammdaten!$H$3:$H$303,SMALL($W$2:$W$301,244)+1),"")</f>
        <v/>
      </c>
      <c r="Z245">
        <f>IF(INDEX(Stammdaten!$B$3:$B$303,245)="","",IFERROR(MATCH(INDEX(Stammdaten!$A$3:$A$303,245),Kategorien,0),999)*1000+244)</f>
        <v/>
      </c>
      <c r="AA245">
        <f>IFERROR(SMALL($Z$2:$Z$301,244),"")</f>
        <v/>
      </c>
      <c r="AB245">
        <f>IF($AA245="","",INDEX(Stammdaten!$A$3:$A$303,MOD($AA245,1000)+1)&amp;"")</f>
        <v/>
      </c>
      <c r="AC245">
        <f>IF($AA245="","",INDEX(Stammdaten!$B$3:$B$303,MOD($AA245,1000)+1))</f>
        <v/>
      </c>
    </row>
    <row r="246">
      <c r="T246">
        <f>IF(INDEX(Stammdaten!$I$3:$I$303,246)="","",245)</f>
        <v/>
      </c>
      <c r="U246">
        <f>IFERROR(INDEX(Stammdaten!$I$3:$I$303,SMALL($T$2:$T$301,245)+1),"")</f>
        <v/>
      </c>
      <c r="W246">
        <f>IF(INDEX(Stammdaten!$H$3:$H$303,246)="","",245)</f>
        <v/>
      </c>
      <c r="X246">
        <f>IFERROR(INDEX(Stammdaten!$H$3:$H$303,SMALL($W$2:$W$301,245)+1),"")</f>
        <v/>
      </c>
      <c r="Z246">
        <f>IF(INDEX(Stammdaten!$B$3:$B$303,246)="","",IFERROR(MATCH(INDEX(Stammdaten!$A$3:$A$303,246),Kategorien,0),999)*1000+245)</f>
        <v/>
      </c>
      <c r="AA246">
        <f>IFERROR(SMALL($Z$2:$Z$301,245),"")</f>
        <v/>
      </c>
      <c r="AB246">
        <f>IF($AA246="","",INDEX(Stammdaten!$A$3:$A$303,MOD($AA246,1000)+1)&amp;"")</f>
        <v/>
      </c>
      <c r="AC246">
        <f>IF($AA246="","",INDEX(Stammdaten!$B$3:$B$303,MOD($AA246,1000)+1))</f>
        <v/>
      </c>
    </row>
    <row r="247">
      <c r="T247">
        <f>IF(INDEX(Stammdaten!$I$3:$I$303,247)="","",246)</f>
        <v/>
      </c>
      <c r="U247">
        <f>IFERROR(INDEX(Stammdaten!$I$3:$I$303,SMALL($T$2:$T$301,246)+1),"")</f>
        <v/>
      </c>
      <c r="W247">
        <f>IF(INDEX(Stammdaten!$H$3:$H$303,247)="","",246)</f>
        <v/>
      </c>
      <c r="X247">
        <f>IFERROR(INDEX(Stammdaten!$H$3:$H$303,SMALL($W$2:$W$301,246)+1),"")</f>
        <v/>
      </c>
      <c r="Z247">
        <f>IF(INDEX(Stammdaten!$B$3:$B$303,247)="","",IFERROR(MATCH(INDEX(Stammdaten!$A$3:$A$303,247),Kategorien,0),999)*1000+246)</f>
        <v/>
      </c>
      <c r="AA247">
        <f>IFERROR(SMALL($Z$2:$Z$301,246),"")</f>
        <v/>
      </c>
      <c r="AB247">
        <f>IF($AA247="","",INDEX(Stammdaten!$A$3:$A$303,MOD($AA247,1000)+1)&amp;"")</f>
        <v/>
      </c>
      <c r="AC247">
        <f>IF($AA247="","",INDEX(Stammdaten!$B$3:$B$303,MOD($AA247,1000)+1))</f>
        <v/>
      </c>
    </row>
    <row r="248">
      <c r="T248">
        <f>IF(INDEX(Stammdaten!$I$3:$I$303,248)="","",247)</f>
        <v/>
      </c>
      <c r="U248">
        <f>IFERROR(INDEX(Stammdaten!$I$3:$I$303,SMALL($T$2:$T$301,247)+1),"")</f>
        <v/>
      </c>
      <c r="W248">
        <f>IF(INDEX(Stammdaten!$H$3:$H$303,248)="","",247)</f>
        <v/>
      </c>
      <c r="X248">
        <f>IFERROR(INDEX(Stammdaten!$H$3:$H$303,SMALL($W$2:$W$301,247)+1),"")</f>
        <v/>
      </c>
      <c r="Z248">
        <f>IF(INDEX(Stammdaten!$B$3:$B$303,248)="","",IFERROR(MATCH(INDEX(Stammdaten!$A$3:$A$303,248),Kategorien,0),999)*1000+247)</f>
        <v/>
      </c>
      <c r="AA248">
        <f>IFERROR(SMALL($Z$2:$Z$301,247),"")</f>
        <v/>
      </c>
      <c r="AB248">
        <f>IF($AA248="","",INDEX(Stammdaten!$A$3:$A$303,MOD($AA248,1000)+1)&amp;"")</f>
        <v/>
      </c>
      <c r="AC248">
        <f>IF($AA248="","",INDEX(Stammdaten!$B$3:$B$303,MOD($AA248,1000)+1))</f>
        <v/>
      </c>
    </row>
    <row r="249">
      <c r="T249">
        <f>IF(INDEX(Stammdaten!$I$3:$I$303,249)="","",248)</f>
        <v/>
      </c>
      <c r="U249">
        <f>IFERROR(INDEX(Stammdaten!$I$3:$I$303,SMALL($T$2:$T$301,248)+1),"")</f>
        <v/>
      </c>
      <c r="W249">
        <f>IF(INDEX(Stammdaten!$H$3:$H$303,249)="","",248)</f>
        <v/>
      </c>
      <c r="X249">
        <f>IFERROR(INDEX(Stammdaten!$H$3:$H$303,SMALL($W$2:$W$301,248)+1),"")</f>
        <v/>
      </c>
      <c r="Z249">
        <f>IF(INDEX(Stammdaten!$B$3:$B$303,249)="","",IFERROR(MATCH(INDEX(Stammdaten!$A$3:$A$303,249),Kategorien,0),999)*1000+248)</f>
        <v/>
      </c>
      <c r="AA249">
        <f>IFERROR(SMALL($Z$2:$Z$301,248),"")</f>
        <v/>
      </c>
      <c r="AB249">
        <f>IF($AA249="","",INDEX(Stammdaten!$A$3:$A$303,MOD($AA249,1000)+1)&amp;"")</f>
        <v/>
      </c>
      <c r="AC249">
        <f>IF($AA249="","",INDEX(Stammdaten!$B$3:$B$303,MOD($AA249,1000)+1))</f>
        <v/>
      </c>
    </row>
    <row r="250">
      <c r="T250">
        <f>IF(INDEX(Stammdaten!$I$3:$I$303,250)="","",249)</f>
        <v/>
      </c>
      <c r="U250">
        <f>IFERROR(INDEX(Stammdaten!$I$3:$I$303,SMALL($T$2:$T$301,249)+1),"")</f>
        <v/>
      </c>
      <c r="W250">
        <f>IF(INDEX(Stammdaten!$H$3:$H$303,250)="","",249)</f>
        <v/>
      </c>
      <c r="X250">
        <f>IFERROR(INDEX(Stammdaten!$H$3:$H$303,SMALL($W$2:$W$301,249)+1),"")</f>
        <v/>
      </c>
      <c r="Z250">
        <f>IF(INDEX(Stammdaten!$B$3:$B$303,250)="","",IFERROR(MATCH(INDEX(Stammdaten!$A$3:$A$303,250),Kategorien,0),999)*1000+249)</f>
        <v/>
      </c>
      <c r="AA250">
        <f>IFERROR(SMALL($Z$2:$Z$301,249),"")</f>
        <v/>
      </c>
      <c r="AB250">
        <f>IF($AA250="","",INDEX(Stammdaten!$A$3:$A$303,MOD($AA250,1000)+1)&amp;"")</f>
        <v/>
      </c>
      <c r="AC250">
        <f>IF($AA250="","",INDEX(Stammdaten!$B$3:$B$303,MOD($AA250,1000)+1))</f>
        <v/>
      </c>
    </row>
    <row r="251">
      <c r="T251">
        <f>IF(INDEX(Stammdaten!$I$3:$I$303,251)="","",250)</f>
        <v/>
      </c>
      <c r="U251">
        <f>IFERROR(INDEX(Stammdaten!$I$3:$I$303,SMALL($T$2:$T$301,250)+1),"")</f>
        <v/>
      </c>
      <c r="W251">
        <f>IF(INDEX(Stammdaten!$H$3:$H$303,251)="","",250)</f>
        <v/>
      </c>
      <c r="X251">
        <f>IFERROR(INDEX(Stammdaten!$H$3:$H$303,SMALL($W$2:$W$301,250)+1),"")</f>
        <v/>
      </c>
      <c r="Z251">
        <f>IF(INDEX(Stammdaten!$B$3:$B$303,251)="","",IFERROR(MATCH(INDEX(Stammdaten!$A$3:$A$303,251),Kategorien,0),999)*1000+250)</f>
        <v/>
      </c>
      <c r="AA251">
        <f>IFERROR(SMALL($Z$2:$Z$301,250),"")</f>
        <v/>
      </c>
      <c r="AB251">
        <f>IF($AA251="","",INDEX(Stammdaten!$A$3:$A$303,MOD($AA251,1000)+1)&amp;"")</f>
        <v/>
      </c>
      <c r="AC251">
        <f>IF($AA251="","",INDEX(Stammdaten!$B$3:$B$303,MOD($AA251,1000)+1))</f>
        <v/>
      </c>
    </row>
    <row r="252">
      <c r="T252">
        <f>IF(INDEX(Stammdaten!$I$3:$I$303,252)="","",251)</f>
        <v/>
      </c>
      <c r="U252">
        <f>IFERROR(INDEX(Stammdaten!$I$3:$I$303,SMALL($T$2:$T$301,251)+1),"")</f>
        <v/>
      </c>
      <c r="W252">
        <f>IF(INDEX(Stammdaten!$H$3:$H$303,252)="","",251)</f>
        <v/>
      </c>
      <c r="X252">
        <f>IFERROR(INDEX(Stammdaten!$H$3:$H$303,SMALL($W$2:$W$301,251)+1),"")</f>
        <v/>
      </c>
      <c r="Z252">
        <f>IF(INDEX(Stammdaten!$B$3:$B$303,252)="","",IFERROR(MATCH(INDEX(Stammdaten!$A$3:$A$303,252),Kategorien,0),999)*1000+251)</f>
        <v/>
      </c>
      <c r="AA252">
        <f>IFERROR(SMALL($Z$2:$Z$301,251),"")</f>
        <v/>
      </c>
      <c r="AB252">
        <f>IF($AA252="","",INDEX(Stammdaten!$A$3:$A$303,MOD($AA252,1000)+1)&amp;"")</f>
        <v/>
      </c>
      <c r="AC252">
        <f>IF($AA252="","",INDEX(Stammdaten!$B$3:$B$303,MOD($AA252,1000)+1))</f>
        <v/>
      </c>
    </row>
    <row r="253">
      <c r="T253">
        <f>IF(INDEX(Stammdaten!$I$3:$I$303,253)="","",252)</f>
        <v/>
      </c>
      <c r="U253">
        <f>IFERROR(INDEX(Stammdaten!$I$3:$I$303,SMALL($T$2:$T$301,252)+1),"")</f>
        <v/>
      </c>
      <c r="W253">
        <f>IF(INDEX(Stammdaten!$H$3:$H$303,253)="","",252)</f>
        <v/>
      </c>
      <c r="X253">
        <f>IFERROR(INDEX(Stammdaten!$H$3:$H$303,SMALL($W$2:$W$301,252)+1),"")</f>
        <v/>
      </c>
      <c r="Z253">
        <f>IF(INDEX(Stammdaten!$B$3:$B$303,253)="","",IFERROR(MATCH(INDEX(Stammdaten!$A$3:$A$303,253),Kategorien,0),999)*1000+252)</f>
        <v/>
      </c>
      <c r="AA253">
        <f>IFERROR(SMALL($Z$2:$Z$301,252),"")</f>
        <v/>
      </c>
      <c r="AB253">
        <f>IF($AA253="","",INDEX(Stammdaten!$A$3:$A$303,MOD($AA253,1000)+1)&amp;"")</f>
        <v/>
      </c>
      <c r="AC253">
        <f>IF($AA253="","",INDEX(Stammdaten!$B$3:$B$303,MOD($AA253,1000)+1))</f>
        <v/>
      </c>
    </row>
    <row r="254">
      <c r="T254">
        <f>IF(INDEX(Stammdaten!$I$3:$I$303,254)="","",253)</f>
        <v/>
      </c>
      <c r="U254">
        <f>IFERROR(INDEX(Stammdaten!$I$3:$I$303,SMALL($T$2:$T$301,253)+1),"")</f>
        <v/>
      </c>
      <c r="W254">
        <f>IF(INDEX(Stammdaten!$H$3:$H$303,254)="","",253)</f>
        <v/>
      </c>
      <c r="X254">
        <f>IFERROR(INDEX(Stammdaten!$H$3:$H$303,SMALL($W$2:$W$301,253)+1),"")</f>
        <v/>
      </c>
      <c r="Z254">
        <f>IF(INDEX(Stammdaten!$B$3:$B$303,254)="","",IFERROR(MATCH(INDEX(Stammdaten!$A$3:$A$303,254),Kategorien,0),999)*1000+253)</f>
        <v/>
      </c>
      <c r="AA254">
        <f>IFERROR(SMALL($Z$2:$Z$301,253),"")</f>
        <v/>
      </c>
      <c r="AB254">
        <f>IF($AA254="","",INDEX(Stammdaten!$A$3:$A$303,MOD($AA254,1000)+1)&amp;"")</f>
        <v/>
      </c>
      <c r="AC254">
        <f>IF($AA254="","",INDEX(Stammdaten!$B$3:$B$303,MOD($AA254,1000)+1))</f>
        <v/>
      </c>
    </row>
    <row r="255">
      <c r="T255">
        <f>IF(INDEX(Stammdaten!$I$3:$I$303,255)="","",254)</f>
        <v/>
      </c>
      <c r="U255">
        <f>IFERROR(INDEX(Stammdaten!$I$3:$I$303,SMALL($T$2:$T$301,254)+1),"")</f>
        <v/>
      </c>
      <c r="W255">
        <f>IF(INDEX(Stammdaten!$H$3:$H$303,255)="","",254)</f>
        <v/>
      </c>
      <c r="X255">
        <f>IFERROR(INDEX(Stammdaten!$H$3:$H$303,SMALL($W$2:$W$301,254)+1),"")</f>
        <v/>
      </c>
      <c r="Z255">
        <f>IF(INDEX(Stammdaten!$B$3:$B$303,255)="","",IFERROR(MATCH(INDEX(Stammdaten!$A$3:$A$303,255),Kategorien,0),999)*1000+254)</f>
        <v/>
      </c>
      <c r="AA255">
        <f>IFERROR(SMALL($Z$2:$Z$301,254),"")</f>
        <v/>
      </c>
      <c r="AB255">
        <f>IF($AA255="","",INDEX(Stammdaten!$A$3:$A$303,MOD($AA255,1000)+1)&amp;"")</f>
        <v/>
      </c>
      <c r="AC255">
        <f>IF($AA255="","",INDEX(Stammdaten!$B$3:$B$303,MOD($AA255,1000)+1))</f>
        <v/>
      </c>
    </row>
    <row r="256">
      <c r="T256">
        <f>IF(INDEX(Stammdaten!$I$3:$I$303,256)="","",255)</f>
        <v/>
      </c>
      <c r="U256">
        <f>IFERROR(INDEX(Stammdaten!$I$3:$I$303,SMALL($T$2:$T$301,255)+1),"")</f>
        <v/>
      </c>
      <c r="W256">
        <f>IF(INDEX(Stammdaten!$H$3:$H$303,256)="","",255)</f>
        <v/>
      </c>
      <c r="X256">
        <f>IFERROR(INDEX(Stammdaten!$H$3:$H$303,SMALL($W$2:$W$301,255)+1),"")</f>
        <v/>
      </c>
      <c r="Z256">
        <f>IF(INDEX(Stammdaten!$B$3:$B$303,256)="","",IFERROR(MATCH(INDEX(Stammdaten!$A$3:$A$303,256),Kategorien,0),999)*1000+255)</f>
        <v/>
      </c>
      <c r="AA256">
        <f>IFERROR(SMALL($Z$2:$Z$301,255),"")</f>
        <v/>
      </c>
      <c r="AB256">
        <f>IF($AA256="","",INDEX(Stammdaten!$A$3:$A$303,MOD($AA256,1000)+1)&amp;"")</f>
        <v/>
      </c>
      <c r="AC256">
        <f>IF($AA256="","",INDEX(Stammdaten!$B$3:$B$303,MOD($AA256,1000)+1))</f>
        <v/>
      </c>
    </row>
    <row r="257">
      <c r="T257">
        <f>IF(INDEX(Stammdaten!$I$3:$I$303,257)="","",256)</f>
        <v/>
      </c>
      <c r="U257">
        <f>IFERROR(INDEX(Stammdaten!$I$3:$I$303,SMALL($T$2:$T$301,256)+1),"")</f>
        <v/>
      </c>
      <c r="W257">
        <f>IF(INDEX(Stammdaten!$H$3:$H$303,257)="","",256)</f>
        <v/>
      </c>
      <c r="X257">
        <f>IFERROR(INDEX(Stammdaten!$H$3:$H$303,SMALL($W$2:$W$301,256)+1),"")</f>
        <v/>
      </c>
      <c r="Z257">
        <f>IF(INDEX(Stammdaten!$B$3:$B$303,257)="","",IFERROR(MATCH(INDEX(Stammdaten!$A$3:$A$303,257),Kategorien,0),999)*1000+256)</f>
        <v/>
      </c>
      <c r="AA257">
        <f>IFERROR(SMALL($Z$2:$Z$301,256),"")</f>
        <v/>
      </c>
      <c r="AB257">
        <f>IF($AA257="","",INDEX(Stammdaten!$A$3:$A$303,MOD($AA257,1000)+1)&amp;"")</f>
        <v/>
      </c>
      <c r="AC257">
        <f>IF($AA257="","",INDEX(Stammdaten!$B$3:$B$303,MOD($AA257,1000)+1))</f>
        <v/>
      </c>
    </row>
    <row r="258">
      <c r="T258">
        <f>IF(INDEX(Stammdaten!$I$3:$I$303,258)="","",257)</f>
        <v/>
      </c>
      <c r="U258">
        <f>IFERROR(INDEX(Stammdaten!$I$3:$I$303,SMALL($T$2:$T$301,257)+1),"")</f>
        <v/>
      </c>
      <c r="W258">
        <f>IF(INDEX(Stammdaten!$H$3:$H$303,258)="","",257)</f>
        <v/>
      </c>
      <c r="X258">
        <f>IFERROR(INDEX(Stammdaten!$H$3:$H$303,SMALL($W$2:$W$301,257)+1),"")</f>
        <v/>
      </c>
      <c r="Z258">
        <f>IF(INDEX(Stammdaten!$B$3:$B$303,258)="","",IFERROR(MATCH(INDEX(Stammdaten!$A$3:$A$303,258),Kategorien,0),999)*1000+257)</f>
        <v/>
      </c>
      <c r="AA258">
        <f>IFERROR(SMALL($Z$2:$Z$301,257),"")</f>
        <v/>
      </c>
      <c r="AB258">
        <f>IF($AA258="","",INDEX(Stammdaten!$A$3:$A$303,MOD($AA258,1000)+1)&amp;"")</f>
        <v/>
      </c>
      <c r="AC258">
        <f>IF($AA258="","",INDEX(Stammdaten!$B$3:$B$303,MOD($AA258,1000)+1))</f>
        <v/>
      </c>
    </row>
    <row r="259">
      <c r="T259">
        <f>IF(INDEX(Stammdaten!$I$3:$I$303,259)="","",258)</f>
        <v/>
      </c>
      <c r="U259">
        <f>IFERROR(INDEX(Stammdaten!$I$3:$I$303,SMALL($T$2:$T$301,258)+1),"")</f>
        <v/>
      </c>
      <c r="W259">
        <f>IF(INDEX(Stammdaten!$H$3:$H$303,259)="","",258)</f>
        <v/>
      </c>
      <c r="X259">
        <f>IFERROR(INDEX(Stammdaten!$H$3:$H$303,SMALL($W$2:$W$301,258)+1),"")</f>
        <v/>
      </c>
      <c r="Z259">
        <f>IF(INDEX(Stammdaten!$B$3:$B$303,259)="","",IFERROR(MATCH(INDEX(Stammdaten!$A$3:$A$303,259),Kategorien,0),999)*1000+258)</f>
        <v/>
      </c>
      <c r="AA259">
        <f>IFERROR(SMALL($Z$2:$Z$301,258),"")</f>
        <v/>
      </c>
      <c r="AB259">
        <f>IF($AA259="","",INDEX(Stammdaten!$A$3:$A$303,MOD($AA259,1000)+1)&amp;"")</f>
        <v/>
      </c>
      <c r="AC259">
        <f>IF($AA259="","",INDEX(Stammdaten!$B$3:$B$303,MOD($AA259,1000)+1))</f>
        <v/>
      </c>
    </row>
    <row r="260">
      <c r="T260">
        <f>IF(INDEX(Stammdaten!$I$3:$I$303,260)="","",259)</f>
        <v/>
      </c>
      <c r="U260">
        <f>IFERROR(INDEX(Stammdaten!$I$3:$I$303,SMALL($T$2:$T$301,259)+1),"")</f>
        <v/>
      </c>
      <c r="W260">
        <f>IF(INDEX(Stammdaten!$H$3:$H$303,260)="","",259)</f>
        <v/>
      </c>
      <c r="X260">
        <f>IFERROR(INDEX(Stammdaten!$H$3:$H$303,SMALL($W$2:$W$301,259)+1),"")</f>
        <v/>
      </c>
      <c r="Z260">
        <f>IF(INDEX(Stammdaten!$B$3:$B$303,260)="","",IFERROR(MATCH(INDEX(Stammdaten!$A$3:$A$303,260),Kategorien,0),999)*1000+259)</f>
        <v/>
      </c>
      <c r="AA260">
        <f>IFERROR(SMALL($Z$2:$Z$301,259),"")</f>
        <v/>
      </c>
      <c r="AB260">
        <f>IF($AA260="","",INDEX(Stammdaten!$A$3:$A$303,MOD($AA260,1000)+1)&amp;"")</f>
        <v/>
      </c>
      <c r="AC260">
        <f>IF($AA260="","",INDEX(Stammdaten!$B$3:$B$303,MOD($AA260,1000)+1))</f>
        <v/>
      </c>
    </row>
    <row r="261">
      <c r="T261">
        <f>IF(INDEX(Stammdaten!$I$3:$I$303,261)="","",260)</f>
        <v/>
      </c>
      <c r="U261">
        <f>IFERROR(INDEX(Stammdaten!$I$3:$I$303,SMALL($T$2:$T$301,260)+1),"")</f>
        <v/>
      </c>
      <c r="W261">
        <f>IF(INDEX(Stammdaten!$H$3:$H$303,261)="","",260)</f>
        <v/>
      </c>
      <c r="X261">
        <f>IFERROR(INDEX(Stammdaten!$H$3:$H$303,SMALL($W$2:$W$301,260)+1),"")</f>
        <v/>
      </c>
      <c r="Z261">
        <f>IF(INDEX(Stammdaten!$B$3:$B$303,261)="","",IFERROR(MATCH(INDEX(Stammdaten!$A$3:$A$303,261),Kategorien,0),999)*1000+260)</f>
        <v/>
      </c>
      <c r="AA261">
        <f>IFERROR(SMALL($Z$2:$Z$301,260),"")</f>
        <v/>
      </c>
      <c r="AB261">
        <f>IF($AA261="","",INDEX(Stammdaten!$A$3:$A$303,MOD($AA261,1000)+1)&amp;"")</f>
        <v/>
      </c>
      <c r="AC261">
        <f>IF($AA261="","",INDEX(Stammdaten!$B$3:$B$303,MOD($AA261,1000)+1))</f>
        <v/>
      </c>
    </row>
    <row r="262">
      <c r="T262">
        <f>IF(INDEX(Stammdaten!$I$3:$I$303,262)="","",261)</f>
        <v/>
      </c>
      <c r="U262">
        <f>IFERROR(INDEX(Stammdaten!$I$3:$I$303,SMALL($T$2:$T$301,261)+1),"")</f>
        <v/>
      </c>
      <c r="W262">
        <f>IF(INDEX(Stammdaten!$H$3:$H$303,262)="","",261)</f>
        <v/>
      </c>
      <c r="X262">
        <f>IFERROR(INDEX(Stammdaten!$H$3:$H$303,SMALL($W$2:$W$301,261)+1),"")</f>
        <v/>
      </c>
      <c r="Z262">
        <f>IF(INDEX(Stammdaten!$B$3:$B$303,262)="","",IFERROR(MATCH(INDEX(Stammdaten!$A$3:$A$303,262),Kategorien,0),999)*1000+261)</f>
        <v/>
      </c>
      <c r="AA262">
        <f>IFERROR(SMALL($Z$2:$Z$301,261),"")</f>
        <v/>
      </c>
      <c r="AB262">
        <f>IF($AA262="","",INDEX(Stammdaten!$A$3:$A$303,MOD($AA262,1000)+1)&amp;"")</f>
        <v/>
      </c>
      <c r="AC262">
        <f>IF($AA262="","",INDEX(Stammdaten!$B$3:$B$303,MOD($AA262,1000)+1))</f>
        <v/>
      </c>
    </row>
    <row r="263">
      <c r="T263">
        <f>IF(INDEX(Stammdaten!$I$3:$I$303,263)="","",262)</f>
        <v/>
      </c>
      <c r="U263">
        <f>IFERROR(INDEX(Stammdaten!$I$3:$I$303,SMALL($T$2:$T$301,262)+1),"")</f>
        <v/>
      </c>
      <c r="W263">
        <f>IF(INDEX(Stammdaten!$H$3:$H$303,263)="","",262)</f>
        <v/>
      </c>
      <c r="X263">
        <f>IFERROR(INDEX(Stammdaten!$H$3:$H$303,SMALL($W$2:$W$301,262)+1),"")</f>
        <v/>
      </c>
      <c r="Z263">
        <f>IF(INDEX(Stammdaten!$B$3:$B$303,263)="","",IFERROR(MATCH(INDEX(Stammdaten!$A$3:$A$303,263),Kategorien,0),999)*1000+262)</f>
        <v/>
      </c>
      <c r="AA263">
        <f>IFERROR(SMALL($Z$2:$Z$301,262),"")</f>
        <v/>
      </c>
      <c r="AB263">
        <f>IF($AA263="","",INDEX(Stammdaten!$A$3:$A$303,MOD($AA263,1000)+1)&amp;"")</f>
        <v/>
      </c>
      <c r="AC263">
        <f>IF($AA263="","",INDEX(Stammdaten!$B$3:$B$303,MOD($AA263,1000)+1))</f>
        <v/>
      </c>
    </row>
    <row r="264">
      <c r="T264">
        <f>IF(INDEX(Stammdaten!$I$3:$I$303,264)="","",263)</f>
        <v/>
      </c>
      <c r="U264">
        <f>IFERROR(INDEX(Stammdaten!$I$3:$I$303,SMALL($T$2:$T$301,263)+1),"")</f>
        <v/>
      </c>
      <c r="W264">
        <f>IF(INDEX(Stammdaten!$H$3:$H$303,264)="","",263)</f>
        <v/>
      </c>
      <c r="X264">
        <f>IFERROR(INDEX(Stammdaten!$H$3:$H$303,SMALL($W$2:$W$301,263)+1),"")</f>
        <v/>
      </c>
      <c r="Z264">
        <f>IF(INDEX(Stammdaten!$B$3:$B$303,264)="","",IFERROR(MATCH(INDEX(Stammdaten!$A$3:$A$303,264),Kategorien,0),999)*1000+263)</f>
        <v/>
      </c>
      <c r="AA264">
        <f>IFERROR(SMALL($Z$2:$Z$301,263),"")</f>
        <v/>
      </c>
      <c r="AB264">
        <f>IF($AA264="","",INDEX(Stammdaten!$A$3:$A$303,MOD($AA264,1000)+1)&amp;"")</f>
        <v/>
      </c>
      <c r="AC264">
        <f>IF($AA264="","",INDEX(Stammdaten!$B$3:$B$303,MOD($AA264,1000)+1))</f>
        <v/>
      </c>
    </row>
    <row r="265">
      <c r="T265">
        <f>IF(INDEX(Stammdaten!$I$3:$I$303,265)="","",264)</f>
        <v/>
      </c>
      <c r="U265">
        <f>IFERROR(INDEX(Stammdaten!$I$3:$I$303,SMALL($T$2:$T$301,264)+1),"")</f>
        <v/>
      </c>
      <c r="W265">
        <f>IF(INDEX(Stammdaten!$H$3:$H$303,265)="","",264)</f>
        <v/>
      </c>
      <c r="X265">
        <f>IFERROR(INDEX(Stammdaten!$H$3:$H$303,SMALL($W$2:$W$301,264)+1),"")</f>
        <v/>
      </c>
      <c r="Z265">
        <f>IF(INDEX(Stammdaten!$B$3:$B$303,265)="","",IFERROR(MATCH(INDEX(Stammdaten!$A$3:$A$303,265),Kategorien,0),999)*1000+264)</f>
        <v/>
      </c>
      <c r="AA265">
        <f>IFERROR(SMALL($Z$2:$Z$301,264),"")</f>
        <v/>
      </c>
      <c r="AB265">
        <f>IF($AA265="","",INDEX(Stammdaten!$A$3:$A$303,MOD($AA265,1000)+1)&amp;"")</f>
        <v/>
      </c>
      <c r="AC265">
        <f>IF($AA265="","",INDEX(Stammdaten!$B$3:$B$303,MOD($AA265,1000)+1))</f>
        <v/>
      </c>
    </row>
    <row r="266">
      <c r="T266">
        <f>IF(INDEX(Stammdaten!$I$3:$I$303,266)="","",265)</f>
        <v/>
      </c>
      <c r="U266">
        <f>IFERROR(INDEX(Stammdaten!$I$3:$I$303,SMALL($T$2:$T$301,265)+1),"")</f>
        <v/>
      </c>
      <c r="W266">
        <f>IF(INDEX(Stammdaten!$H$3:$H$303,266)="","",265)</f>
        <v/>
      </c>
      <c r="X266">
        <f>IFERROR(INDEX(Stammdaten!$H$3:$H$303,SMALL($W$2:$W$301,265)+1),"")</f>
        <v/>
      </c>
      <c r="Z266">
        <f>IF(INDEX(Stammdaten!$B$3:$B$303,266)="","",IFERROR(MATCH(INDEX(Stammdaten!$A$3:$A$303,266),Kategorien,0),999)*1000+265)</f>
        <v/>
      </c>
      <c r="AA266">
        <f>IFERROR(SMALL($Z$2:$Z$301,265),"")</f>
        <v/>
      </c>
      <c r="AB266">
        <f>IF($AA266="","",INDEX(Stammdaten!$A$3:$A$303,MOD($AA266,1000)+1)&amp;"")</f>
        <v/>
      </c>
      <c r="AC266">
        <f>IF($AA266="","",INDEX(Stammdaten!$B$3:$B$303,MOD($AA266,1000)+1))</f>
        <v/>
      </c>
    </row>
    <row r="267">
      <c r="T267">
        <f>IF(INDEX(Stammdaten!$I$3:$I$303,267)="","",266)</f>
        <v/>
      </c>
      <c r="U267">
        <f>IFERROR(INDEX(Stammdaten!$I$3:$I$303,SMALL($T$2:$T$301,266)+1),"")</f>
        <v/>
      </c>
      <c r="W267">
        <f>IF(INDEX(Stammdaten!$H$3:$H$303,267)="","",266)</f>
        <v/>
      </c>
      <c r="X267">
        <f>IFERROR(INDEX(Stammdaten!$H$3:$H$303,SMALL($W$2:$W$301,266)+1),"")</f>
        <v/>
      </c>
      <c r="Z267">
        <f>IF(INDEX(Stammdaten!$B$3:$B$303,267)="","",IFERROR(MATCH(INDEX(Stammdaten!$A$3:$A$303,267),Kategorien,0),999)*1000+266)</f>
        <v/>
      </c>
      <c r="AA267">
        <f>IFERROR(SMALL($Z$2:$Z$301,266),"")</f>
        <v/>
      </c>
      <c r="AB267">
        <f>IF($AA267="","",INDEX(Stammdaten!$A$3:$A$303,MOD($AA267,1000)+1)&amp;"")</f>
        <v/>
      </c>
      <c r="AC267">
        <f>IF($AA267="","",INDEX(Stammdaten!$B$3:$B$303,MOD($AA267,1000)+1))</f>
        <v/>
      </c>
    </row>
    <row r="268">
      <c r="T268">
        <f>IF(INDEX(Stammdaten!$I$3:$I$303,268)="","",267)</f>
        <v/>
      </c>
      <c r="U268">
        <f>IFERROR(INDEX(Stammdaten!$I$3:$I$303,SMALL($T$2:$T$301,267)+1),"")</f>
        <v/>
      </c>
      <c r="W268">
        <f>IF(INDEX(Stammdaten!$H$3:$H$303,268)="","",267)</f>
        <v/>
      </c>
      <c r="X268">
        <f>IFERROR(INDEX(Stammdaten!$H$3:$H$303,SMALL($W$2:$W$301,267)+1),"")</f>
        <v/>
      </c>
      <c r="Z268">
        <f>IF(INDEX(Stammdaten!$B$3:$B$303,268)="","",IFERROR(MATCH(INDEX(Stammdaten!$A$3:$A$303,268),Kategorien,0),999)*1000+267)</f>
        <v/>
      </c>
      <c r="AA268">
        <f>IFERROR(SMALL($Z$2:$Z$301,267),"")</f>
        <v/>
      </c>
      <c r="AB268">
        <f>IF($AA268="","",INDEX(Stammdaten!$A$3:$A$303,MOD($AA268,1000)+1)&amp;"")</f>
        <v/>
      </c>
      <c r="AC268">
        <f>IF($AA268="","",INDEX(Stammdaten!$B$3:$B$303,MOD($AA268,1000)+1))</f>
        <v/>
      </c>
    </row>
    <row r="269">
      <c r="T269">
        <f>IF(INDEX(Stammdaten!$I$3:$I$303,269)="","",268)</f>
        <v/>
      </c>
      <c r="U269">
        <f>IFERROR(INDEX(Stammdaten!$I$3:$I$303,SMALL($T$2:$T$301,268)+1),"")</f>
        <v/>
      </c>
      <c r="W269">
        <f>IF(INDEX(Stammdaten!$H$3:$H$303,269)="","",268)</f>
        <v/>
      </c>
      <c r="X269">
        <f>IFERROR(INDEX(Stammdaten!$H$3:$H$303,SMALL($W$2:$W$301,268)+1),"")</f>
        <v/>
      </c>
      <c r="Z269">
        <f>IF(INDEX(Stammdaten!$B$3:$B$303,269)="","",IFERROR(MATCH(INDEX(Stammdaten!$A$3:$A$303,269),Kategorien,0),999)*1000+268)</f>
        <v/>
      </c>
      <c r="AA269">
        <f>IFERROR(SMALL($Z$2:$Z$301,268),"")</f>
        <v/>
      </c>
      <c r="AB269">
        <f>IF($AA269="","",INDEX(Stammdaten!$A$3:$A$303,MOD($AA269,1000)+1)&amp;"")</f>
        <v/>
      </c>
      <c r="AC269">
        <f>IF($AA269="","",INDEX(Stammdaten!$B$3:$B$303,MOD($AA269,1000)+1))</f>
        <v/>
      </c>
    </row>
    <row r="270">
      <c r="T270">
        <f>IF(INDEX(Stammdaten!$I$3:$I$303,270)="","",269)</f>
        <v/>
      </c>
      <c r="U270">
        <f>IFERROR(INDEX(Stammdaten!$I$3:$I$303,SMALL($T$2:$T$301,269)+1),"")</f>
        <v/>
      </c>
      <c r="W270">
        <f>IF(INDEX(Stammdaten!$H$3:$H$303,270)="","",269)</f>
        <v/>
      </c>
      <c r="X270">
        <f>IFERROR(INDEX(Stammdaten!$H$3:$H$303,SMALL($W$2:$W$301,269)+1),"")</f>
        <v/>
      </c>
      <c r="Z270">
        <f>IF(INDEX(Stammdaten!$B$3:$B$303,270)="","",IFERROR(MATCH(INDEX(Stammdaten!$A$3:$A$303,270),Kategorien,0),999)*1000+269)</f>
        <v/>
      </c>
      <c r="AA270">
        <f>IFERROR(SMALL($Z$2:$Z$301,269),"")</f>
        <v/>
      </c>
      <c r="AB270">
        <f>IF($AA270="","",INDEX(Stammdaten!$A$3:$A$303,MOD($AA270,1000)+1)&amp;"")</f>
        <v/>
      </c>
      <c r="AC270">
        <f>IF($AA270="","",INDEX(Stammdaten!$B$3:$B$303,MOD($AA270,1000)+1))</f>
        <v/>
      </c>
    </row>
    <row r="271">
      <c r="T271">
        <f>IF(INDEX(Stammdaten!$I$3:$I$303,271)="","",270)</f>
        <v/>
      </c>
      <c r="U271">
        <f>IFERROR(INDEX(Stammdaten!$I$3:$I$303,SMALL($T$2:$T$301,270)+1),"")</f>
        <v/>
      </c>
      <c r="W271">
        <f>IF(INDEX(Stammdaten!$H$3:$H$303,271)="","",270)</f>
        <v/>
      </c>
      <c r="X271">
        <f>IFERROR(INDEX(Stammdaten!$H$3:$H$303,SMALL($W$2:$W$301,270)+1),"")</f>
        <v/>
      </c>
      <c r="Z271">
        <f>IF(INDEX(Stammdaten!$B$3:$B$303,271)="","",IFERROR(MATCH(INDEX(Stammdaten!$A$3:$A$303,271),Kategorien,0),999)*1000+270)</f>
        <v/>
      </c>
      <c r="AA271">
        <f>IFERROR(SMALL($Z$2:$Z$301,270),"")</f>
        <v/>
      </c>
      <c r="AB271">
        <f>IF($AA271="","",INDEX(Stammdaten!$A$3:$A$303,MOD($AA271,1000)+1)&amp;"")</f>
        <v/>
      </c>
      <c r="AC271">
        <f>IF($AA271="","",INDEX(Stammdaten!$B$3:$B$303,MOD($AA271,1000)+1))</f>
        <v/>
      </c>
    </row>
    <row r="272">
      <c r="T272">
        <f>IF(INDEX(Stammdaten!$I$3:$I$303,272)="","",271)</f>
        <v/>
      </c>
      <c r="U272">
        <f>IFERROR(INDEX(Stammdaten!$I$3:$I$303,SMALL($T$2:$T$301,271)+1),"")</f>
        <v/>
      </c>
      <c r="W272">
        <f>IF(INDEX(Stammdaten!$H$3:$H$303,272)="","",271)</f>
        <v/>
      </c>
      <c r="X272">
        <f>IFERROR(INDEX(Stammdaten!$H$3:$H$303,SMALL($W$2:$W$301,271)+1),"")</f>
        <v/>
      </c>
      <c r="Z272">
        <f>IF(INDEX(Stammdaten!$B$3:$B$303,272)="","",IFERROR(MATCH(INDEX(Stammdaten!$A$3:$A$303,272),Kategorien,0),999)*1000+271)</f>
        <v/>
      </c>
      <c r="AA272">
        <f>IFERROR(SMALL($Z$2:$Z$301,271),"")</f>
        <v/>
      </c>
      <c r="AB272">
        <f>IF($AA272="","",INDEX(Stammdaten!$A$3:$A$303,MOD($AA272,1000)+1)&amp;"")</f>
        <v/>
      </c>
      <c r="AC272">
        <f>IF($AA272="","",INDEX(Stammdaten!$B$3:$B$303,MOD($AA272,1000)+1))</f>
        <v/>
      </c>
    </row>
    <row r="273">
      <c r="T273">
        <f>IF(INDEX(Stammdaten!$I$3:$I$303,273)="","",272)</f>
        <v/>
      </c>
      <c r="U273">
        <f>IFERROR(INDEX(Stammdaten!$I$3:$I$303,SMALL($T$2:$T$301,272)+1),"")</f>
        <v/>
      </c>
      <c r="W273">
        <f>IF(INDEX(Stammdaten!$H$3:$H$303,273)="","",272)</f>
        <v/>
      </c>
      <c r="X273">
        <f>IFERROR(INDEX(Stammdaten!$H$3:$H$303,SMALL($W$2:$W$301,272)+1),"")</f>
        <v/>
      </c>
      <c r="Z273">
        <f>IF(INDEX(Stammdaten!$B$3:$B$303,273)="","",IFERROR(MATCH(INDEX(Stammdaten!$A$3:$A$303,273),Kategorien,0),999)*1000+272)</f>
        <v/>
      </c>
      <c r="AA273">
        <f>IFERROR(SMALL($Z$2:$Z$301,272),"")</f>
        <v/>
      </c>
      <c r="AB273">
        <f>IF($AA273="","",INDEX(Stammdaten!$A$3:$A$303,MOD($AA273,1000)+1)&amp;"")</f>
        <v/>
      </c>
      <c r="AC273">
        <f>IF($AA273="","",INDEX(Stammdaten!$B$3:$B$303,MOD($AA273,1000)+1))</f>
        <v/>
      </c>
    </row>
    <row r="274">
      <c r="T274">
        <f>IF(INDEX(Stammdaten!$I$3:$I$303,274)="","",273)</f>
        <v/>
      </c>
      <c r="U274">
        <f>IFERROR(INDEX(Stammdaten!$I$3:$I$303,SMALL($T$2:$T$301,273)+1),"")</f>
        <v/>
      </c>
      <c r="W274">
        <f>IF(INDEX(Stammdaten!$H$3:$H$303,274)="","",273)</f>
        <v/>
      </c>
      <c r="X274">
        <f>IFERROR(INDEX(Stammdaten!$H$3:$H$303,SMALL($W$2:$W$301,273)+1),"")</f>
        <v/>
      </c>
      <c r="Z274">
        <f>IF(INDEX(Stammdaten!$B$3:$B$303,274)="","",IFERROR(MATCH(INDEX(Stammdaten!$A$3:$A$303,274),Kategorien,0),999)*1000+273)</f>
        <v/>
      </c>
      <c r="AA274">
        <f>IFERROR(SMALL($Z$2:$Z$301,273),"")</f>
        <v/>
      </c>
      <c r="AB274">
        <f>IF($AA274="","",INDEX(Stammdaten!$A$3:$A$303,MOD($AA274,1000)+1)&amp;"")</f>
        <v/>
      </c>
      <c r="AC274">
        <f>IF($AA274="","",INDEX(Stammdaten!$B$3:$B$303,MOD($AA274,1000)+1))</f>
        <v/>
      </c>
    </row>
    <row r="275">
      <c r="T275">
        <f>IF(INDEX(Stammdaten!$I$3:$I$303,275)="","",274)</f>
        <v/>
      </c>
      <c r="U275">
        <f>IFERROR(INDEX(Stammdaten!$I$3:$I$303,SMALL($T$2:$T$301,274)+1),"")</f>
        <v/>
      </c>
      <c r="W275">
        <f>IF(INDEX(Stammdaten!$H$3:$H$303,275)="","",274)</f>
        <v/>
      </c>
      <c r="X275">
        <f>IFERROR(INDEX(Stammdaten!$H$3:$H$303,SMALL($W$2:$W$301,274)+1),"")</f>
        <v/>
      </c>
      <c r="Z275">
        <f>IF(INDEX(Stammdaten!$B$3:$B$303,275)="","",IFERROR(MATCH(INDEX(Stammdaten!$A$3:$A$303,275),Kategorien,0),999)*1000+274)</f>
        <v/>
      </c>
      <c r="AA275">
        <f>IFERROR(SMALL($Z$2:$Z$301,274),"")</f>
        <v/>
      </c>
      <c r="AB275">
        <f>IF($AA275="","",INDEX(Stammdaten!$A$3:$A$303,MOD($AA275,1000)+1)&amp;"")</f>
        <v/>
      </c>
      <c r="AC275">
        <f>IF($AA275="","",INDEX(Stammdaten!$B$3:$B$303,MOD($AA275,1000)+1))</f>
        <v/>
      </c>
    </row>
    <row r="276">
      <c r="T276">
        <f>IF(INDEX(Stammdaten!$I$3:$I$303,276)="","",275)</f>
        <v/>
      </c>
      <c r="U276">
        <f>IFERROR(INDEX(Stammdaten!$I$3:$I$303,SMALL($T$2:$T$301,275)+1),"")</f>
        <v/>
      </c>
      <c r="W276">
        <f>IF(INDEX(Stammdaten!$H$3:$H$303,276)="","",275)</f>
        <v/>
      </c>
      <c r="X276">
        <f>IFERROR(INDEX(Stammdaten!$H$3:$H$303,SMALL($W$2:$W$301,275)+1),"")</f>
        <v/>
      </c>
      <c r="Z276">
        <f>IF(INDEX(Stammdaten!$B$3:$B$303,276)="","",IFERROR(MATCH(INDEX(Stammdaten!$A$3:$A$303,276),Kategorien,0),999)*1000+275)</f>
        <v/>
      </c>
      <c r="AA276">
        <f>IFERROR(SMALL($Z$2:$Z$301,275),"")</f>
        <v/>
      </c>
      <c r="AB276">
        <f>IF($AA276="","",INDEX(Stammdaten!$A$3:$A$303,MOD($AA276,1000)+1)&amp;"")</f>
        <v/>
      </c>
      <c r="AC276">
        <f>IF($AA276="","",INDEX(Stammdaten!$B$3:$B$303,MOD($AA276,1000)+1))</f>
        <v/>
      </c>
    </row>
    <row r="277">
      <c r="T277">
        <f>IF(INDEX(Stammdaten!$I$3:$I$303,277)="","",276)</f>
        <v/>
      </c>
      <c r="U277">
        <f>IFERROR(INDEX(Stammdaten!$I$3:$I$303,SMALL($T$2:$T$301,276)+1),"")</f>
        <v/>
      </c>
      <c r="W277">
        <f>IF(INDEX(Stammdaten!$H$3:$H$303,277)="","",276)</f>
        <v/>
      </c>
      <c r="X277">
        <f>IFERROR(INDEX(Stammdaten!$H$3:$H$303,SMALL($W$2:$W$301,276)+1),"")</f>
        <v/>
      </c>
      <c r="Z277">
        <f>IF(INDEX(Stammdaten!$B$3:$B$303,277)="","",IFERROR(MATCH(INDEX(Stammdaten!$A$3:$A$303,277),Kategorien,0),999)*1000+276)</f>
        <v/>
      </c>
      <c r="AA277">
        <f>IFERROR(SMALL($Z$2:$Z$301,276),"")</f>
        <v/>
      </c>
      <c r="AB277">
        <f>IF($AA277="","",INDEX(Stammdaten!$A$3:$A$303,MOD($AA277,1000)+1)&amp;"")</f>
        <v/>
      </c>
      <c r="AC277">
        <f>IF($AA277="","",INDEX(Stammdaten!$B$3:$B$303,MOD($AA277,1000)+1))</f>
        <v/>
      </c>
    </row>
    <row r="278">
      <c r="T278">
        <f>IF(INDEX(Stammdaten!$I$3:$I$303,278)="","",277)</f>
        <v/>
      </c>
      <c r="U278">
        <f>IFERROR(INDEX(Stammdaten!$I$3:$I$303,SMALL($T$2:$T$301,277)+1),"")</f>
        <v/>
      </c>
      <c r="W278">
        <f>IF(INDEX(Stammdaten!$H$3:$H$303,278)="","",277)</f>
        <v/>
      </c>
      <c r="X278">
        <f>IFERROR(INDEX(Stammdaten!$H$3:$H$303,SMALL($W$2:$W$301,277)+1),"")</f>
        <v/>
      </c>
      <c r="Z278">
        <f>IF(INDEX(Stammdaten!$B$3:$B$303,278)="","",IFERROR(MATCH(INDEX(Stammdaten!$A$3:$A$303,278),Kategorien,0),999)*1000+277)</f>
        <v/>
      </c>
      <c r="AA278">
        <f>IFERROR(SMALL($Z$2:$Z$301,277),"")</f>
        <v/>
      </c>
      <c r="AB278">
        <f>IF($AA278="","",INDEX(Stammdaten!$A$3:$A$303,MOD($AA278,1000)+1)&amp;"")</f>
        <v/>
      </c>
      <c r="AC278">
        <f>IF($AA278="","",INDEX(Stammdaten!$B$3:$B$303,MOD($AA278,1000)+1))</f>
        <v/>
      </c>
    </row>
    <row r="279">
      <c r="T279">
        <f>IF(INDEX(Stammdaten!$I$3:$I$303,279)="","",278)</f>
        <v/>
      </c>
      <c r="U279">
        <f>IFERROR(INDEX(Stammdaten!$I$3:$I$303,SMALL($T$2:$T$301,278)+1),"")</f>
        <v/>
      </c>
      <c r="W279">
        <f>IF(INDEX(Stammdaten!$H$3:$H$303,279)="","",278)</f>
        <v/>
      </c>
      <c r="X279">
        <f>IFERROR(INDEX(Stammdaten!$H$3:$H$303,SMALL($W$2:$W$301,278)+1),"")</f>
        <v/>
      </c>
      <c r="Z279">
        <f>IF(INDEX(Stammdaten!$B$3:$B$303,279)="","",IFERROR(MATCH(INDEX(Stammdaten!$A$3:$A$303,279),Kategorien,0),999)*1000+278)</f>
        <v/>
      </c>
      <c r="AA279">
        <f>IFERROR(SMALL($Z$2:$Z$301,278),"")</f>
        <v/>
      </c>
      <c r="AB279">
        <f>IF($AA279="","",INDEX(Stammdaten!$A$3:$A$303,MOD($AA279,1000)+1)&amp;"")</f>
        <v/>
      </c>
      <c r="AC279">
        <f>IF($AA279="","",INDEX(Stammdaten!$B$3:$B$303,MOD($AA279,1000)+1))</f>
        <v/>
      </c>
    </row>
    <row r="280">
      <c r="T280">
        <f>IF(INDEX(Stammdaten!$I$3:$I$303,280)="","",279)</f>
        <v/>
      </c>
      <c r="U280">
        <f>IFERROR(INDEX(Stammdaten!$I$3:$I$303,SMALL($T$2:$T$301,279)+1),"")</f>
        <v/>
      </c>
      <c r="W280">
        <f>IF(INDEX(Stammdaten!$H$3:$H$303,280)="","",279)</f>
        <v/>
      </c>
      <c r="X280">
        <f>IFERROR(INDEX(Stammdaten!$H$3:$H$303,SMALL($W$2:$W$301,279)+1),"")</f>
        <v/>
      </c>
      <c r="Z280">
        <f>IF(INDEX(Stammdaten!$B$3:$B$303,280)="","",IFERROR(MATCH(INDEX(Stammdaten!$A$3:$A$303,280),Kategorien,0),999)*1000+279)</f>
        <v/>
      </c>
      <c r="AA280">
        <f>IFERROR(SMALL($Z$2:$Z$301,279),"")</f>
        <v/>
      </c>
      <c r="AB280">
        <f>IF($AA280="","",INDEX(Stammdaten!$A$3:$A$303,MOD($AA280,1000)+1)&amp;"")</f>
        <v/>
      </c>
      <c r="AC280">
        <f>IF($AA280="","",INDEX(Stammdaten!$B$3:$B$303,MOD($AA280,1000)+1))</f>
        <v/>
      </c>
    </row>
    <row r="281">
      <c r="T281">
        <f>IF(INDEX(Stammdaten!$I$3:$I$303,281)="","",280)</f>
        <v/>
      </c>
      <c r="U281">
        <f>IFERROR(INDEX(Stammdaten!$I$3:$I$303,SMALL($T$2:$T$301,280)+1),"")</f>
        <v/>
      </c>
      <c r="W281">
        <f>IF(INDEX(Stammdaten!$H$3:$H$303,281)="","",280)</f>
        <v/>
      </c>
      <c r="X281">
        <f>IFERROR(INDEX(Stammdaten!$H$3:$H$303,SMALL($W$2:$W$301,280)+1),"")</f>
        <v/>
      </c>
      <c r="Z281">
        <f>IF(INDEX(Stammdaten!$B$3:$B$303,281)="","",IFERROR(MATCH(INDEX(Stammdaten!$A$3:$A$303,281),Kategorien,0),999)*1000+280)</f>
        <v/>
      </c>
      <c r="AA281">
        <f>IFERROR(SMALL($Z$2:$Z$301,280),"")</f>
        <v/>
      </c>
      <c r="AB281">
        <f>IF($AA281="","",INDEX(Stammdaten!$A$3:$A$303,MOD($AA281,1000)+1)&amp;"")</f>
        <v/>
      </c>
      <c r="AC281">
        <f>IF($AA281="","",INDEX(Stammdaten!$B$3:$B$303,MOD($AA281,1000)+1))</f>
        <v/>
      </c>
    </row>
    <row r="282">
      <c r="T282">
        <f>IF(INDEX(Stammdaten!$I$3:$I$303,282)="","",281)</f>
        <v/>
      </c>
      <c r="U282">
        <f>IFERROR(INDEX(Stammdaten!$I$3:$I$303,SMALL($T$2:$T$301,281)+1),"")</f>
        <v/>
      </c>
      <c r="W282">
        <f>IF(INDEX(Stammdaten!$H$3:$H$303,282)="","",281)</f>
        <v/>
      </c>
      <c r="X282">
        <f>IFERROR(INDEX(Stammdaten!$H$3:$H$303,SMALL($W$2:$W$301,281)+1),"")</f>
        <v/>
      </c>
      <c r="Z282">
        <f>IF(INDEX(Stammdaten!$B$3:$B$303,282)="","",IFERROR(MATCH(INDEX(Stammdaten!$A$3:$A$303,282),Kategorien,0),999)*1000+281)</f>
        <v/>
      </c>
      <c r="AA282">
        <f>IFERROR(SMALL($Z$2:$Z$301,281),"")</f>
        <v/>
      </c>
      <c r="AB282">
        <f>IF($AA282="","",INDEX(Stammdaten!$A$3:$A$303,MOD($AA282,1000)+1)&amp;"")</f>
        <v/>
      </c>
      <c r="AC282">
        <f>IF($AA282="","",INDEX(Stammdaten!$B$3:$B$303,MOD($AA282,1000)+1))</f>
        <v/>
      </c>
    </row>
    <row r="283">
      <c r="T283">
        <f>IF(INDEX(Stammdaten!$I$3:$I$303,283)="","",282)</f>
        <v/>
      </c>
      <c r="U283">
        <f>IFERROR(INDEX(Stammdaten!$I$3:$I$303,SMALL($T$2:$T$301,282)+1),"")</f>
        <v/>
      </c>
      <c r="W283">
        <f>IF(INDEX(Stammdaten!$H$3:$H$303,283)="","",282)</f>
        <v/>
      </c>
      <c r="X283">
        <f>IFERROR(INDEX(Stammdaten!$H$3:$H$303,SMALL($W$2:$W$301,282)+1),"")</f>
        <v/>
      </c>
      <c r="Z283">
        <f>IF(INDEX(Stammdaten!$B$3:$B$303,283)="","",IFERROR(MATCH(INDEX(Stammdaten!$A$3:$A$303,283),Kategorien,0),999)*1000+282)</f>
        <v/>
      </c>
      <c r="AA283">
        <f>IFERROR(SMALL($Z$2:$Z$301,282),"")</f>
        <v/>
      </c>
      <c r="AB283">
        <f>IF($AA283="","",INDEX(Stammdaten!$A$3:$A$303,MOD($AA283,1000)+1)&amp;"")</f>
        <v/>
      </c>
      <c r="AC283">
        <f>IF($AA283="","",INDEX(Stammdaten!$B$3:$B$303,MOD($AA283,1000)+1))</f>
        <v/>
      </c>
    </row>
    <row r="284">
      <c r="T284">
        <f>IF(INDEX(Stammdaten!$I$3:$I$303,284)="","",283)</f>
        <v/>
      </c>
      <c r="U284">
        <f>IFERROR(INDEX(Stammdaten!$I$3:$I$303,SMALL($T$2:$T$301,283)+1),"")</f>
        <v/>
      </c>
      <c r="W284">
        <f>IF(INDEX(Stammdaten!$H$3:$H$303,284)="","",283)</f>
        <v/>
      </c>
      <c r="X284">
        <f>IFERROR(INDEX(Stammdaten!$H$3:$H$303,SMALL($W$2:$W$301,283)+1),"")</f>
        <v/>
      </c>
      <c r="Z284">
        <f>IF(INDEX(Stammdaten!$B$3:$B$303,284)="","",IFERROR(MATCH(INDEX(Stammdaten!$A$3:$A$303,284),Kategorien,0),999)*1000+283)</f>
        <v/>
      </c>
      <c r="AA284">
        <f>IFERROR(SMALL($Z$2:$Z$301,283),"")</f>
        <v/>
      </c>
      <c r="AB284">
        <f>IF($AA284="","",INDEX(Stammdaten!$A$3:$A$303,MOD($AA284,1000)+1)&amp;"")</f>
        <v/>
      </c>
      <c r="AC284">
        <f>IF($AA284="","",INDEX(Stammdaten!$B$3:$B$303,MOD($AA284,1000)+1))</f>
        <v/>
      </c>
    </row>
    <row r="285">
      <c r="T285">
        <f>IF(INDEX(Stammdaten!$I$3:$I$303,285)="","",284)</f>
        <v/>
      </c>
      <c r="U285">
        <f>IFERROR(INDEX(Stammdaten!$I$3:$I$303,SMALL($T$2:$T$301,284)+1),"")</f>
        <v/>
      </c>
      <c r="W285">
        <f>IF(INDEX(Stammdaten!$H$3:$H$303,285)="","",284)</f>
        <v/>
      </c>
      <c r="X285">
        <f>IFERROR(INDEX(Stammdaten!$H$3:$H$303,SMALL($W$2:$W$301,284)+1),"")</f>
        <v/>
      </c>
      <c r="Z285">
        <f>IF(INDEX(Stammdaten!$B$3:$B$303,285)="","",IFERROR(MATCH(INDEX(Stammdaten!$A$3:$A$303,285),Kategorien,0),999)*1000+284)</f>
        <v/>
      </c>
      <c r="AA285">
        <f>IFERROR(SMALL($Z$2:$Z$301,284),"")</f>
        <v/>
      </c>
      <c r="AB285">
        <f>IF($AA285="","",INDEX(Stammdaten!$A$3:$A$303,MOD($AA285,1000)+1)&amp;"")</f>
        <v/>
      </c>
      <c r="AC285">
        <f>IF($AA285="","",INDEX(Stammdaten!$B$3:$B$303,MOD($AA285,1000)+1))</f>
        <v/>
      </c>
    </row>
    <row r="286">
      <c r="T286">
        <f>IF(INDEX(Stammdaten!$I$3:$I$303,286)="","",285)</f>
        <v/>
      </c>
      <c r="U286">
        <f>IFERROR(INDEX(Stammdaten!$I$3:$I$303,SMALL($T$2:$T$301,285)+1),"")</f>
        <v/>
      </c>
      <c r="W286">
        <f>IF(INDEX(Stammdaten!$H$3:$H$303,286)="","",285)</f>
        <v/>
      </c>
      <c r="X286">
        <f>IFERROR(INDEX(Stammdaten!$H$3:$H$303,SMALL($W$2:$W$301,285)+1),"")</f>
        <v/>
      </c>
      <c r="Z286">
        <f>IF(INDEX(Stammdaten!$B$3:$B$303,286)="","",IFERROR(MATCH(INDEX(Stammdaten!$A$3:$A$303,286),Kategorien,0),999)*1000+285)</f>
        <v/>
      </c>
      <c r="AA286">
        <f>IFERROR(SMALL($Z$2:$Z$301,285),"")</f>
        <v/>
      </c>
      <c r="AB286">
        <f>IF($AA286="","",INDEX(Stammdaten!$A$3:$A$303,MOD($AA286,1000)+1)&amp;"")</f>
        <v/>
      </c>
      <c r="AC286">
        <f>IF($AA286="","",INDEX(Stammdaten!$B$3:$B$303,MOD($AA286,1000)+1))</f>
        <v/>
      </c>
    </row>
    <row r="287">
      <c r="T287">
        <f>IF(INDEX(Stammdaten!$I$3:$I$303,287)="","",286)</f>
        <v/>
      </c>
      <c r="U287">
        <f>IFERROR(INDEX(Stammdaten!$I$3:$I$303,SMALL($T$2:$T$301,286)+1),"")</f>
        <v/>
      </c>
      <c r="W287">
        <f>IF(INDEX(Stammdaten!$H$3:$H$303,287)="","",286)</f>
        <v/>
      </c>
      <c r="X287">
        <f>IFERROR(INDEX(Stammdaten!$H$3:$H$303,SMALL($W$2:$W$301,286)+1),"")</f>
        <v/>
      </c>
      <c r="Z287">
        <f>IF(INDEX(Stammdaten!$B$3:$B$303,287)="","",IFERROR(MATCH(INDEX(Stammdaten!$A$3:$A$303,287),Kategorien,0),999)*1000+286)</f>
        <v/>
      </c>
      <c r="AA287">
        <f>IFERROR(SMALL($Z$2:$Z$301,286),"")</f>
        <v/>
      </c>
      <c r="AB287">
        <f>IF($AA287="","",INDEX(Stammdaten!$A$3:$A$303,MOD($AA287,1000)+1)&amp;"")</f>
        <v/>
      </c>
      <c r="AC287">
        <f>IF($AA287="","",INDEX(Stammdaten!$B$3:$B$303,MOD($AA287,1000)+1))</f>
        <v/>
      </c>
    </row>
    <row r="288">
      <c r="T288">
        <f>IF(INDEX(Stammdaten!$I$3:$I$303,288)="","",287)</f>
        <v/>
      </c>
      <c r="U288">
        <f>IFERROR(INDEX(Stammdaten!$I$3:$I$303,SMALL($T$2:$T$301,287)+1),"")</f>
        <v/>
      </c>
      <c r="W288">
        <f>IF(INDEX(Stammdaten!$H$3:$H$303,288)="","",287)</f>
        <v/>
      </c>
      <c r="X288">
        <f>IFERROR(INDEX(Stammdaten!$H$3:$H$303,SMALL($W$2:$W$301,287)+1),"")</f>
        <v/>
      </c>
      <c r="Z288">
        <f>IF(INDEX(Stammdaten!$B$3:$B$303,288)="","",IFERROR(MATCH(INDEX(Stammdaten!$A$3:$A$303,288),Kategorien,0),999)*1000+287)</f>
        <v/>
      </c>
      <c r="AA288">
        <f>IFERROR(SMALL($Z$2:$Z$301,287),"")</f>
        <v/>
      </c>
      <c r="AB288">
        <f>IF($AA288="","",INDEX(Stammdaten!$A$3:$A$303,MOD($AA288,1000)+1)&amp;"")</f>
        <v/>
      </c>
      <c r="AC288">
        <f>IF($AA288="","",INDEX(Stammdaten!$B$3:$B$303,MOD($AA288,1000)+1))</f>
        <v/>
      </c>
    </row>
    <row r="289">
      <c r="T289">
        <f>IF(INDEX(Stammdaten!$I$3:$I$303,289)="","",288)</f>
        <v/>
      </c>
      <c r="U289">
        <f>IFERROR(INDEX(Stammdaten!$I$3:$I$303,SMALL($T$2:$T$301,288)+1),"")</f>
        <v/>
      </c>
      <c r="W289">
        <f>IF(INDEX(Stammdaten!$H$3:$H$303,289)="","",288)</f>
        <v/>
      </c>
      <c r="X289">
        <f>IFERROR(INDEX(Stammdaten!$H$3:$H$303,SMALL($W$2:$W$301,288)+1),"")</f>
        <v/>
      </c>
      <c r="Z289">
        <f>IF(INDEX(Stammdaten!$B$3:$B$303,289)="","",IFERROR(MATCH(INDEX(Stammdaten!$A$3:$A$303,289),Kategorien,0),999)*1000+288)</f>
        <v/>
      </c>
      <c r="AA289">
        <f>IFERROR(SMALL($Z$2:$Z$301,288),"")</f>
        <v/>
      </c>
      <c r="AB289">
        <f>IF($AA289="","",INDEX(Stammdaten!$A$3:$A$303,MOD($AA289,1000)+1)&amp;"")</f>
        <v/>
      </c>
      <c r="AC289">
        <f>IF($AA289="","",INDEX(Stammdaten!$B$3:$B$303,MOD($AA289,1000)+1))</f>
        <v/>
      </c>
    </row>
    <row r="290">
      <c r="T290">
        <f>IF(INDEX(Stammdaten!$I$3:$I$303,290)="","",289)</f>
        <v/>
      </c>
      <c r="U290">
        <f>IFERROR(INDEX(Stammdaten!$I$3:$I$303,SMALL($T$2:$T$301,289)+1),"")</f>
        <v/>
      </c>
      <c r="W290">
        <f>IF(INDEX(Stammdaten!$H$3:$H$303,290)="","",289)</f>
        <v/>
      </c>
      <c r="X290">
        <f>IFERROR(INDEX(Stammdaten!$H$3:$H$303,SMALL($W$2:$W$301,289)+1),"")</f>
        <v/>
      </c>
      <c r="Z290">
        <f>IF(INDEX(Stammdaten!$B$3:$B$303,290)="","",IFERROR(MATCH(INDEX(Stammdaten!$A$3:$A$303,290),Kategorien,0),999)*1000+289)</f>
        <v/>
      </c>
      <c r="AA290">
        <f>IFERROR(SMALL($Z$2:$Z$301,289),"")</f>
        <v/>
      </c>
      <c r="AB290">
        <f>IF($AA290="","",INDEX(Stammdaten!$A$3:$A$303,MOD($AA290,1000)+1)&amp;"")</f>
        <v/>
      </c>
      <c r="AC290">
        <f>IF($AA290="","",INDEX(Stammdaten!$B$3:$B$303,MOD($AA290,1000)+1))</f>
        <v/>
      </c>
    </row>
    <row r="291">
      <c r="T291">
        <f>IF(INDEX(Stammdaten!$I$3:$I$303,291)="","",290)</f>
        <v/>
      </c>
      <c r="U291">
        <f>IFERROR(INDEX(Stammdaten!$I$3:$I$303,SMALL($T$2:$T$301,290)+1),"")</f>
        <v/>
      </c>
      <c r="W291">
        <f>IF(INDEX(Stammdaten!$H$3:$H$303,291)="","",290)</f>
        <v/>
      </c>
      <c r="X291">
        <f>IFERROR(INDEX(Stammdaten!$H$3:$H$303,SMALL($W$2:$W$301,290)+1),"")</f>
        <v/>
      </c>
      <c r="Z291">
        <f>IF(INDEX(Stammdaten!$B$3:$B$303,291)="","",IFERROR(MATCH(INDEX(Stammdaten!$A$3:$A$303,291),Kategorien,0),999)*1000+290)</f>
        <v/>
      </c>
      <c r="AA291">
        <f>IFERROR(SMALL($Z$2:$Z$301,290),"")</f>
        <v/>
      </c>
      <c r="AB291">
        <f>IF($AA291="","",INDEX(Stammdaten!$A$3:$A$303,MOD($AA291,1000)+1)&amp;"")</f>
        <v/>
      </c>
      <c r="AC291">
        <f>IF($AA291="","",INDEX(Stammdaten!$B$3:$B$303,MOD($AA291,1000)+1))</f>
        <v/>
      </c>
    </row>
    <row r="292">
      <c r="T292">
        <f>IF(INDEX(Stammdaten!$I$3:$I$303,292)="","",291)</f>
        <v/>
      </c>
      <c r="U292">
        <f>IFERROR(INDEX(Stammdaten!$I$3:$I$303,SMALL($T$2:$T$301,291)+1),"")</f>
        <v/>
      </c>
      <c r="W292">
        <f>IF(INDEX(Stammdaten!$H$3:$H$303,292)="","",291)</f>
        <v/>
      </c>
      <c r="X292">
        <f>IFERROR(INDEX(Stammdaten!$H$3:$H$303,SMALL($W$2:$W$301,291)+1),"")</f>
        <v/>
      </c>
      <c r="Z292">
        <f>IF(INDEX(Stammdaten!$B$3:$B$303,292)="","",IFERROR(MATCH(INDEX(Stammdaten!$A$3:$A$303,292),Kategorien,0),999)*1000+291)</f>
        <v/>
      </c>
      <c r="AA292">
        <f>IFERROR(SMALL($Z$2:$Z$301,291),"")</f>
        <v/>
      </c>
      <c r="AB292">
        <f>IF($AA292="","",INDEX(Stammdaten!$A$3:$A$303,MOD($AA292,1000)+1)&amp;"")</f>
        <v/>
      </c>
      <c r="AC292">
        <f>IF($AA292="","",INDEX(Stammdaten!$B$3:$B$303,MOD($AA292,1000)+1))</f>
        <v/>
      </c>
    </row>
    <row r="293">
      <c r="T293">
        <f>IF(INDEX(Stammdaten!$I$3:$I$303,293)="","",292)</f>
        <v/>
      </c>
      <c r="U293">
        <f>IFERROR(INDEX(Stammdaten!$I$3:$I$303,SMALL($T$2:$T$301,292)+1),"")</f>
        <v/>
      </c>
      <c r="W293">
        <f>IF(INDEX(Stammdaten!$H$3:$H$303,293)="","",292)</f>
        <v/>
      </c>
      <c r="X293">
        <f>IFERROR(INDEX(Stammdaten!$H$3:$H$303,SMALL($W$2:$W$301,292)+1),"")</f>
        <v/>
      </c>
      <c r="Z293">
        <f>IF(INDEX(Stammdaten!$B$3:$B$303,293)="","",IFERROR(MATCH(INDEX(Stammdaten!$A$3:$A$303,293),Kategorien,0),999)*1000+292)</f>
        <v/>
      </c>
      <c r="AA293">
        <f>IFERROR(SMALL($Z$2:$Z$301,292),"")</f>
        <v/>
      </c>
      <c r="AB293">
        <f>IF($AA293="","",INDEX(Stammdaten!$A$3:$A$303,MOD($AA293,1000)+1)&amp;"")</f>
        <v/>
      </c>
      <c r="AC293">
        <f>IF($AA293="","",INDEX(Stammdaten!$B$3:$B$303,MOD($AA293,1000)+1))</f>
        <v/>
      </c>
    </row>
    <row r="294">
      <c r="T294">
        <f>IF(INDEX(Stammdaten!$I$3:$I$303,294)="","",293)</f>
        <v/>
      </c>
      <c r="U294">
        <f>IFERROR(INDEX(Stammdaten!$I$3:$I$303,SMALL($T$2:$T$301,293)+1),"")</f>
        <v/>
      </c>
      <c r="W294">
        <f>IF(INDEX(Stammdaten!$H$3:$H$303,294)="","",293)</f>
        <v/>
      </c>
      <c r="X294">
        <f>IFERROR(INDEX(Stammdaten!$H$3:$H$303,SMALL($W$2:$W$301,293)+1),"")</f>
        <v/>
      </c>
      <c r="Z294">
        <f>IF(INDEX(Stammdaten!$B$3:$B$303,294)="","",IFERROR(MATCH(INDEX(Stammdaten!$A$3:$A$303,294),Kategorien,0),999)*1000+293)</f>
        <v/>
      </c>
      <c r="AA294">
        <f>IFERROR(SMALL($Z$2:$Z$301,293),"")</f>
        <v/>
      </c>
      <c r="AB294">
        <f>IF($AA294="","",INDEX(Stammdaten!$A$3:$A$303,MOD($AA294,1000)+1)&amp;"")</f>
        <v/>
      </c>
      <c r="AC294">
        <f>IF($AA294="","",INDEX(Stammdaten!$B$3:$B$303,MOD($AA294,1000)+1))</f>
        <v/>
      </c>
    </row>
    <row r="295">
      <c r="T295">
        <f>IF(INDEX(Stammdaten!$I$3:$I$303,295)="","",294)</f>
        <v/>
      </c>
      <c r="U295">
        <f>IFERROR(INDEX(Stammdaten!$I$3:$I$303,SMALL($T$2:$T$301,294)+1),"")</f>
        <v/>
      </c>
      <c r="W295">
        <f>IF(INDEX(Stammdaten!$H$3:$H$303,295)="","",294)</f>
        <v/>
      </c>
      <c r="X295">
        <f>IFERROR(INDEX(Stammdaten!$H$3:$H$303,SMALL($W$2:$W$301,294)+1),"")</f>
        <v/>
      </c>
      <c r="Z295">
        <f>IF(INDEX(Stammdaten!$B$3:$B$303,295)="","",IFERROR(MATCH(INDEX(Stammdaten!$A$3:$A$303,295),Kategorien,0),999)*1000+294)</f>
        <v/>
      </c>
      <c r="AA295">
        <f>IFERROR(SMALL($Z$2:$Z$301,294),"")</f>
        <v/>
      </c>
      <c r="AB295">
        <f>IF($AA295="","",INDEX(Stammdaten!$A$3:$A$303,MOD($AA295,1000)+1)&amp;"")</f>
        <v/>
      </c>
      <c r="AC295">
        <f>IF($AA295="","",INDEX(Stammdaten!$B$3:$B$303,MOD($AA295,1000)+1))</f>
        <v/>
      </c>
    </row>
    <row r="296">
      <c r="T296">
        <f>IF(INDEX(Stammdaten!$I$3:$I$303,296)="","",295)</f>
        <v/>
      </c>
      <c r="U296">
        <f>IFERROR(INDEX(Stammdaten!$I$3:$I$303,SMALL($T$2:$T$301,295)+1),"")</f>
        <v/>
      </c>
      <c r="W296">
        <f>IF(INDEX(Stammdaten!$H$3:$H$303,296)="","",295)</f>
        <v/>
      </c>
      <c r="X296">
        <f>IFERROR(INDEX(Stammdaten!$H$3:$H$303,SMALL($W$2:$W$301,295)+1),"")</f>
        <v/>
      </c>
      <c r="Z296">
        <f>IF(INDEX(Stammdaten!$B$3:$B$303,296)="","",IFERROR(MATCH(INDEX(Stammdaten!$A$3:$A$303,296),Kategorien,0),999)*1000+295)</f>
        <v/>
      </c>
      <c r="AA296">
        <f>IFERROR(SMALL($Z$2:$Z$301,295),"")</f>
        <v/>
      </c>
      <c r="AB296">
        <f>IF($AA296="","",INDEX(Stammdaten!$A$3:$A$303,MOD($AA296,1000)+1)&amp;"")</f>
        <v/>
      </c>
      <c r="AC296">
        <f>IF($AA296="","",INDEX(Stammdaten!$B$3:$B$303,MOD($AA296,1000)+1))</f>
        <v/>
      </c>
    </row>
    <row r="297">
      <c r="T297">
        <f>IF(INDEX(Stammdaten!$I$3:$I$303,297)="","",296)</f>
        <v/>
      </c>
      <c r="U297">
        <f>IFERROR(INDEX(Stammdaten!$I$3:$I$303,SMALL($T$2:$T$301,296)+1),"")</f>
        <v/>
      </c>
      <c r="W297">
        <f>IF(INDEX(Stammdaten!$H$3:$H$303,297)="","",296)</f>
        <v/>
      </c>
      <c r="X297">
        <f>IFERROR(INDEX(Stammdaten!$H$3:$H$303,SMALL($W$2:$W$301,296)+1),"")</f>
        <v/>
      </c>
      <c r="Z297">
        <f>IF(INDEX(Stammdaten!$B$3:$B$303,297)="","",IFERROR(MATCH(INDEX(Stammdaten!$A$3:$A$303,297),Kategorien,0),999)*1000+296)</f>
        <v/>
      </c>
      <c r="AA297">
        <f>IFERROR(SMALL($Z$2:$Z$301,296),"")</f>
        <v/>
      </c>
      <c r="AB297">
        <f>IF($AA297="","",INDEX(Stammdaten!$A$3:$A$303,MOD($AA297,1000)+1)&amp;"")</f>
        <v/>
      </c>
      <c r="AC297">
        <f>IF($AA297="","",INDEX(Stammdaten!$B$3:$B$303,MOD($AA297,1000)+1))</f>
        <v/>
      </c>
    </row>
    <row r="298">
      <c r="T298">
        <f>IF(INDEX(Stammdaten!$I$3:$I$303,298)="","",297)</f>
        <v/>
      </c>
      <c r="U298">
        <f>IFERROR(INDEX(Stammdaten!$I$3:$I$303,SMALL($T$2:$T$301,297)+1),"")</f>
        <v/>
      </c>
      <c r="W298">
        <f>IF(INDEX(Stammdaten!$H$3:$H$303,298)="","",297)</f>
        <v/>
      </c>
      <c r="X298">
        <f>IFERROR(INDEX(Stammdaten!$H$3:$H$303,SMALL($W$2:$W$301,297)+1),"")</f>
        <v/>
      </c>
      <c r="Z298">
        <f>IF(INDEX(Stammdaten!$B$3:$B$303,298)="","",IFERROR(MATCH(INDEX(Stammdaten!$A$3:$A$303,298),Kategorien,0),999)*1000+297)</f>
        <v/>
      </c>
      <c r="AA298">
        <f>IFERROR(SMALL($Z$2:$Z$301,297),"")</f>
        <v/>
      </c>
      <c r="AB298">
        <f>IF($AA298="","",INDEX(Stammdaten!$A$3:$A$303,MOD($AA298,1000)+1)&amp;"")</f>
        <v/>
      </c>
      <c r="AC298">
        <f>IF($AA298="","",INDEX(Stammdaten!$B$3:$B$303,MOD($AA298,1000)+1))</f>
        <v/>
      </c>
    </row>
    <row r="299">
      <c r="T299">
        <f>IF(INDEX(Stammdaten!$I$3:$I$303,299)="","",298)</f>
        <v/>
      </c>
      <c r="U299">
        <f>IFERROR(INDEX(Stammdaten!$I$3:$I$303,SMALL($T$2:$T$301,298)+1),"")</f>
        <v/>
      </c>
      <c r="W299">
        <f>IF(INDEX(Stammdaten!$H$3:$H$303,299)="","",298)</f>
        <v/>
      </c>
      <c r="X299">
        <f>IFERROR(INDEX(Stammdaten!$H$3:$H$303,SMALL($W$2:$W$301,298)+1),"")</f>
        <v/>
      </c>
      <c r="Z299">
        <f>IF(INDEX(Stammdaten!$B$3:$B$303,299)="","",IFERROR(MATCH(INDEX(Stammdaten!$A$3:$A$303,299),Kategorien,0),999)*1000+298)</f>
        <v/>
      </c>
      <c r="AA299">
        <f>IFERROR(SMALL($Z$2:$Z$301,298),"")</f>
        <v/>
      </c>
      <c r="AB299">
        <f>IF($AA299="","",INDEX(Stammdaten!$A$3:$A$303,MOD($AA299,1000)+1)&amp;"")</f>
        <v/>
      </c>
      <c r="AC299">
        <f>IF($AA299="","",INDEX(Stammdaten!$B$3:$B$303,MOD($AA299,1000)+1))</f>
        <v/>
      </c>
    </row>
    <row r="300">
      <c r="T300">
        <f>IF(INDEX(Stammdaten!$I$3:$I$303,300)="","",299)</f>
        <v/>
      </c>
      <c r="U300">
        <f>IFERROR(INDEX(Stammdaten!$I$3:$I$303,SMALL($T$2:$T$301,299)+1),"")</f>
        <v/>
      </c>
      <c r="W300">
        <f>IF(INDEX(Stammdaten!$H$3:$H$303,300)="","",299)</f>
        <v/>
      </c>
      <c r="X300">
        <f>IFERROR(INDEX(Stammdaten!$H$3:$H$303,SMALL($W$2:$W$301,299)+1),"")</f>
        <v/>
      </c>
      <c r="Z300">
        <f>IF(INDEX(Stammdaten!$B$3:$B$303,300)="","",IFERROR(MATCH(INDEX(Stammdaten!$A$3:$A$303,300),Kategorien,0),999)*1000+299)</f>
        <v/>
      </c>
      <c r="AA300">
        <f>IFERROR(SMALL($Z$2:$Z$301,299),"")</f>
        <v/>
      </c>
      <c r="AB300">
        <f>IF($AA300="","",INDEX(Stammdaten!$A$3:$A$303,MOD($AA300,1000)+1)&amp;"")</f>
        <v/>
      </c>
      <c r="AC300">
        <f>IF($AA300="","",INDEX(Stammdaten!$B$3:$B$303,MOD($AA300,1000)+1))</f>
        <v/>
      </c>
    </row>
    <row r="301">
      <c r="T301">
        <f>IF(INDEX(Stammdaten!$I$3:$I$303,301)="","",300)</f>
        <v/>
      </c>
      <c r="U301">
        <f>IFERROR(INDEX(Stammdaten!$I$3:$I$303,SMALL($T$2:$T$301,300)+1),"")</f>
        <v/>
      </c>
      <c r="W301">
        <f>IF(INDEX(Stammdaten!$H$3:$H$303,301)="","",300)</f>
        <v/>
      </c>
      <c r="X301">
        <f>IFERROR(INDEX(Stammdaten!$H$3:$H$303,SMALL($W$2:$W$301,300)+1),"")</f>
        <v/>
      </c>
      <c r="Z301">
        <f>IF(INDEX(Stammdaten!$B$3:$B$303,301)="","",IFERROR(MATCH(INDEX(Stammdaten!$A$3:$A$303,301),Kategorien,0),999)*1000+300)</f>
        <v/>
      </c>
      <c r="AA301">
        <f>IFERROR(SMALL($Z$2:$Z$301,300),"")</f>
        <v/>
      </c>
      <c r="AB301">
        <f>IF($AA301="","",INDEX(Stammdaten!$A$3:$A$303,MOD($AA301,1000)+1)&amp;"")</f>
        <v/>
      </c>
      <c r="AC301">
        <f>IF($AA301="","",INDEX(Stammdaten!$B$3:$B$303,MOD($AA301,1000)+1))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Kalkulationstool v1.5</dc:creator>
  <dc:title xmlns:dc="http://purl.org/dc/elements/1.1/">Kalkulationstool Angebot Dachdecker- und Zimmererarbeiten (Testversion)</dc:title>
  <dc:subject xmlns:dc="http://purl.org/dc/elements/1.1/">Angebotskalkulation Dachdecker und Zimmerer</dc:subject>
  <dcterms:created xmlns:dcterms="http://purl.org/dc/terms/" xmlns:xsi="http://www.w3.org/2001/XMLSchema-instance" xsi:type="dcterms:W3CDTF">2026-10-07T13:09:11Z</dcterms:created>
  <dcterms:modified xmlns:dcterms="http://purl.org/dc/terms/" xmlns:xsi="http://www.w3.org/2001/XMLSchema-instance" xsi:type="dcterms:W3CDTF">2026-10-07T13:09:11Z</dcterms:modified>
  <cp:keywords>Dachdecker und Zimmerer Angebot Kalkulation Handwerk</cp:keywords>
</cp:coreProperties>
</file>