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Listen!$H$2:$H$4</definedName>
    <definedName name="JaNein">Listen!$P$2:$P$3</definedName>
    <definedName name="_xlnm.Print_Titles" localSheetId="1">'Eingabe'!$42:$42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'Angebot'!$23:$23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Maurer- und Betonbauarbeiten — kostenlose Testversion</t>
        </is>
      </c>
    </row>
    <row r="3">
      <c r="A3" s="2" t="inlineStr">
        <is>
          <t>Version 1.5  |  Gewerk: Maurer und Betonbauer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18 von 31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Maurer, Materialzuschlag, Wagnis und Gewinn, Nachlass, Umsatzsteuer, Skonto, Zahlungsziel und Preisanpassung prüfen.</t>
        </is>
      </c>
    </row>
    <row r="17">
      <c r="A17" s="3" t="inlineStr">
        <is>
          <t>5.  Abschnitt 5: je Zeile Bauteil / Geschoss,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Bauteil / Geschoss: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Maurer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Maurer- und Betonbauarbeiten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Bauweise / Wandaufbau</t>
        </is>
      </c>
      <c r="D22" s="10" t="n"/>
      <c r="E22" s="11" t="n"/>
    </row>
    <row r="23">
      <c r="A23" s="9" t="inlineStr">
        <is>
          <t>Bruttogrundfläche (m²)</t>
        </is>
      </c>
      <c r="D23" s="10" t="n"/>
      <c r="E23" s="11" t="n"/>
    </row>
    <row r="25">
      <c r="A25" s="7" t="inlineStr">
        <is>
          <t>3. Dokument und Umsatzsteuer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9" t="inlineStr">
        <is>
          <t>Dokumentart</t>
        </is>
      </c>
      <c r="D26" s="10" t="inlineStr">
        <is>
          <t>Angebot</t>
        </is>
      </c>
      <c r="E26" s="11" t="n"/>
      <c r="F26" s="13">
        <f>IF(ISNA(MATCH($D$26,Dokumentarten,0)),"! Bitte eine Dokumentart wählen","OK")</f>
        <v/>
      </c>
      <c r="G26" s="14" t="n"/>
      <c r="H26" s="15" t="n"/>
    </row>
    <row r="27">
      <c r="A27" s="9" t="inlineStr">
        <is>
          <t>Umsatzsteuer-Behandlung</t>
        </is>
      </c>
      <c r="D27" s="10" t="inlineStr">
        <is>
          <t>Regelbesteuerung</t>
        </is>
      </c>
      <c r="E27" s="11" t="n"/>
      <c r="F27" s="13">
        <f>IF(ISNA(MATCH($D$27,Steuerfaelle,0)),"! Bitte eine Umsatzsteuer-Behandlung wählen","OK")</f>
        <v/>
      </c>
      <c r="G27" s="14" t="n"/>
      <c r="H27" s="15" t="n"/>
    </row>
    <row r="28">
      <c r="A28" s="9" t="inlineStr">
        <is>
          <t>Arbeitskosten ausweisen (§ 35a EStG)</t>
        </is>
      </c>
      <c r="D28" s="10" t="inlineStr">
        <is>
          <t>Nein</t>
        </is>
      </c>
      <c r="E28" s="11" t="n"/>
      <c r="F28" s="13">
        <f>IF(ISNA(MATCH($D$28,JaNein,0)),"! Bitte Ja oder Nein wählen",IF($D$28="Nein","OK",IF(IFERROR(INDEX(Listen!$L$2:$L$4,MATCH($D$27,Steuerfaelle,0)),1)=0,"! § 35a passt nicht zur gewählten Umsatzsteuer-Behandlung","OK - nur für Privatkunden, nicht bei Neubau")))</f>
        <v/>
      </c>
      <c r="G28" s="14" t="n"/>
      <c r="H28" s="15" t="n"/>
    </row>
    <row r="30">
      <c r="A30" s="7" t="inlineStr">
        <is>
          <t>4. Kalkulationsparameter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9" t="inlineStr">
        <is>
          <t>Stundenverrechnungssatz Maurer</t>
        </is>
      </c>
      <c r="D31" s="16" t="n">
        <v>58</v>
      </c>
      <c r="F31" s="13">
        <f>IF(NOT(ISNUMBER($D$31)),"! Bitte eine Zahl eintragen",IF($D$31&lt;=0,"! Wert muss größer 0 sein","OK"))</f>
        <v/>
      </c>
      <c r="G31" s="14" t="n"/>
      <c r="H31" s="15" t="n"/>
    </row>
    <row r="32">
      <c r="A32" s="9" t="inlineStr">
        <is>
          <t>Materialzuschlag (Handling / Gemeinkosten)</t>
        </is>
      </c>
      <c r="D32" s="17" t="n">
        <v>0.12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Wagnis und Gewinn</t>
        </is>
      </c>
      <c r="D33" s="17" t="n">
        <v>0.08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Nachlass auf Angebotssumme</t>
        </is>
      </c>
      <c r="D34" s="17" t="n">
        <v>0</v>
      </c>
      <c r="F34" s="13">
        <f>IF(NOT(ISNUMBER($D$34)),"! Bitte eine Zahl eintragen",IF(OR($D$34&lt;0,$D$34&gt;1),"! Wert muss zwischen 0 % und 100 % liegen","OK"))</f>
        <v/>
      </c>
      <c r="G34" s="14" t="n"/>
      <c r="H34" s="15" t="n"/>
    </row>
    <row r="35">
      <c r="A35" s="9" t="inlineStr">
        <is>
          <t>Umsatzsteuersatz</t>
        </is>
      </c>
      <c r="D35" s="17" t="n">
        <v>0.19</v>
      </c>
      <c r="F35" s="13">
        <f>IF(NOT(ISNUMBER($D$35)),"! Bitte eine Zahl eintragen",IF(OR($D$35&lt;0,$D$35&gt;1),"! Wert muss zwischen 0 % und 100 % liegen",IF(IFERROR(INDEX(Listen!$J$2:$J$4,MATCH($D$27,Steuerfaelle,0)),1)=1,"OK","OK - gilt bei der gewählten Umsatzsteuer-Behandlung nicht")))</f>
        <v/>
      </c>
      <c r="G35" s="14" t="n"/>
      <c r="H35" s="15" t="n"/>
    </row>
    <row r="36">
      <c r="A36" s="9" t="inlineStr">
        <is>
          <t>Skonto</t>
        </is>
      </c>
      <c r="D36" s="17" t="n">
        <v>0.02</v>
      </c>
      <c r="F36" s="13">
        <f>IF(NOT(ISNUMBER($D$36)),"! Bitte eine Zahl eintragen",IF(OR($D$36&lt;0,$D$36&gt;1),"! Wert muss zwischen 0 % und 100 % liegen","OK"))</f>
        <v/>
      </c>
      <c r="G36" s="14" t="n"/>
      <c r="H36" s="15" t="n"/>
    </row>
    <row r="37">
      <c r="A37" s="9" t="inlineStr">
        <is>
          <t>Skontofrist in Tagen</t>
        </is>
      </c>
      <c r="D37" s="18" t="n">
        <v>10</v>
      </c>
      <c r="F37" s="13">
        <f>IF(NOT(ISNUMBER($D$37)),"! Bitte eine Zahl eintragen",IF(OR($D$37&lt;0,$D$37&gt;365,$D$37&lt;&gt;INT($D$37)),"! 0 bis 365 ganze Tage","OK"))</f>
        <v/>
      </c>
      <c r="G37" s="14" t="n"/>
      <c r="H37" s="15" t="n"/>
    </row>
    <row r="38">
      <c r="A38" s="9" t="inlineStr">
        <is>
          <t>Zahlungsziel in Tagen (ohne Abzug)</t>
        </is>
      </c>
      <c r="D38" s="18" t="n">
        <v>30</v>
      </c>
      <c r="F38" s="13">
        <f>IF(NOT(ISNUMBER($D$38)),"! Bitte eine Zahl eintragen",IF(OR($D$38&lt;0,$D$38&gt;365,$D$38&lt;&gt;INT($D$38)),"! 0 bis 365 ganze Tage",IF(AND(N($D$36)&gt;0,$D$38&lt;N($D$37)),"! Zahlungsziel darf nicht kürzer als die Skontofrist sein","OK")))</f>
        <v/>
      </c>
      <c r="G38" s="14" t="n"/>
      <c r="H38" s="15" t="n"/>
    </row>
    <row r="39">
      <c r="A39" s="9" t="inlineStr">
        <is>
          <t>Preisanpassung Katalog-Materialpreise</t>
        </is>
      </c>
      <c r="D39" s="19" t="n">
        <v>0</v>
      </c>
      <c r="F39" s="13">
        <f>IF(NOT(ISNUMBER($D$39)),"! Bitte eine Zahl eintragen",IF(OR($D$39&lt;-0.5,$D$39&gt;1),"! Wert muss zwischen -50 % und +100 % liegen",IF(ISNUMBER(Stammdaten!$E$1),"OK - Preisstand Katalog "&amp;TEXT(MONTH(Stammdaten!$E$1),"00")&amp;"/"&amp;YEAR(Stammdaten!$E$1),"OK")))</f>
        <v/>
      </c>
      <c r="G39" s="14" t="n"/>
      <c r="H39" s="15" t="n"/>
    </row>
    <row r="41">
      <c r="A41" s="7" t="inlineStr">
        <is>
          <t>5. Positionen (Leistungsverzeichnis)</t>
        </is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34" customHeight="1">
      <c r="A42" s="20" t="inlineStr">
        <is>
          <t>Pos.</t>
        </is>
      </c>
      <c r="B42" s="20" t="inlineStr">
        <is>
          <t>Bauteil / Geschoss</t>
        </is>
      </c>
      <c r="C42" s="20" t="inlineStr">
        <is>
          <t>Kategorie</t>
        </is>
      </c>
      <c r="D42" s="20" t="inlineStr">
        <is>
          <t>Leistung</t>
        </is>
      </c>
      <c r="E42" s="20" t="inlineStr">
        <is>
          <t>Menge</t>
        </is>
      </c>
      <c r="F42" s="20" t="inlineStr">
        <is>
          <t>Einheit</t>
        </is>
      </c>
      <c r="G42" s="20" t="inlineStr">
        <is>
          <t>Eigene Einheit
(leer = Katalog)</t>
        </is>
      </c>
      <c r="H42" s="20" t="inlineStr">
        <is>
          <t>Material €/Einheit
(leer = Katalog)</t>
        </is>
      </c>
      <c r="I42" s="20" t="inlineStr">
        <is>
          <t>Zeit Std/Einheit
(leer = Katalog)</t>
        </is>
      </c>
      <c r="J42" s="20" t="inlineStr">
        <is>
          <t>Bemerkung (erscheint im Angebot)</t>
        </is>
      </c>
    </row>
    <row r="43">
      <c r="A43" s="21">
        <f>IF($D43="","",COUNTA($D$43:$D43))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IF($D44="","",COUNTA($D$43:$D44))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IF($D45="","",COUNTA($D$43:$D45))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IF($D46="","",COUNTA($D$43:$D46))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IF($D47="","",COUNTA($D$43:$D47))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IF($D48="","",COUNTA($D$43:$D48))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IF($D49="","",COUNTA($D$43:$D49))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IF($D50="","",COUNTA($D$43:$D50))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IF($D51="","",COUNTA($D$43:$D51))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IF($D52="","",COUNTA($D$43:$D52))</f>
        <v/>
      </c>
      <c r="B52" s="10" t="n"/>
      <c r="C52" s="10" t="n"/>
      <c r="D52" s="10" t="n"/>
      <c r="E52" s="22" t="n"/>
      <c r="F52" s="21">
        <f>IF($D52="","",IF($G52&lt;&gt;"",$G52,IFERROR(INDEX(Katalog_Einheit,MATCH($D52,Katalog_Leistung,0)),"?")))</f>
        <v/>
      </c>
      <c r="G52" s="23" t="n"/>
      <c r="H52" s="16" t="n"/>
      <c r="I52" s="24" t="n"/>
      <c r="J52" s="10" t="n"/>
    </row>
    <row r="53">
      <c r="A53" s="21">
        <f>IF($D53="","",COUNTA($D$43:$D53))</f>
        <v/>
      </c>
      <c r="B53" s="25" t="inlineStr">
        <is>
          <t>— ab hier nur in der Vollversion (50 Positionszeilen) —</t>
        </is>
      </c>
      <c r="C53" s="14" t="n"/>
      <c r="D53" s="15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IF($D54="","",COUNTA($D$43:$D54))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IF($D55="","",COUNTA($D$43:$D55))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IF($D56="","",COUNTA($D$43:$D56))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IF($D57="","",COUNTA($D$43:$D57))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IF($D58="","",COUNTA($D$43:$D58))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IF($D59="","",COUNTA($D$43:$D59))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IF($D60="","",COUNTA($D$43:$D60))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IF($D61="","",COUNTA($D$43:$D61))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IF($D62="","",COUNTA($D$43:$D62))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IF($D63="","",COUNTA($D$43:$D63))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IF($D64="","",COUNTA($D$43:$D64))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IF($D65="","",COUNTA($D$43:$D65))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IF($D66="","",COUNTA($D$43:$D66))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IF($D67="","",COUNTA($D$43:$D67))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IF($D68="","",COUNTA($D$43:$D68))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IF($D69="","",COUNTA($D$43:$D69))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IF($D70="","",COUNTA($D$43:$D70))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IF($D71="","",COUNTA($D$43:$D71))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IF($D72="","",COUNTA($D$43:$D72))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IF($D73="","",COUNTA($D$43:$D73))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IF($D74="","",COUNTA($D$43:$D74))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IF($D75="","",COUNTA($D$43:$D75))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IF($D76="","",COUNTA($D$43:$D76))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IF($D77="","",COUNTA($D$43:$D77))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IF($D78="","",COUNTA($D$43:$D78))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IF($D79="","",COUNTA($D$43:$D79))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IF($D80="","",COUNTA($D$43:$D80))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IF($D81="","",COUNTA($D$43:$D81))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IF($D82="","",COUNTA($D$43:$D82))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IF($D83="","",COUNTA($D$43:$D83))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IF($D84="","",COUNTA($D$43:$D84))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IF($D85="","",COUNTA($D$43:$D85))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IF($D86="","",COUNTA($D$43:$D86))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IF($D87="","",COUNTA($D$43:$D87))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IF($D88="","",COUNTA($D$43:$D88))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IF($D89="","",COUNTA($D$43:$D89))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IF($D90="","",COUNTA($D$43:$D90))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IF($D91="","",COUNTA($D$43:$D91))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  <row r="92">
      <c r="A92" s="21">
        <f>IF($D92="","",COUNTA($D$43:$D92))</f>
        <v/>
      </c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0">
    <mergeCell ref="D20:E20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1:C21"/>
    <mergeCell ref="D22:E22"/>
    <mergeCell ref="B53:D53"/>
    <mergeCell ref="A26:C26"/>
    <mergeCell ref="D21:E21"/>
    <mergeCell ref="D6:E6"/>
    <mergeCell ref="F38:H38"/>
    <mergeCell ref="A33:C33"/>
    <mergeCell ref="F28:H28"/>
    <mergeCell ref="A5:C5"/>
    <mergeCell ref="A23:C23"/>
    <mergeCell ref="F31:H31"/>
    <mergeCell ref="D13:E13"/>
    <mergeCell ref="A8:C8"/>
    <mergeCell ref="A14:C14"/>
    <mergeCell ref="D27:E27"/>
    <mergeCell ref="A22:C22"/>
    <mergeCell ref="A17:C17"/>
    <mergeCell ref="F27:H27"/>
    <mergeCell ref="A30:J30"/>
    <mergeCell ref="A32:C32"/>
    <mergeCell ref="A35:C35"/>
    <mergeCell ref="A4:C4"/>
    <mergeCell ref="D17:E17"/>
    <mergeCell ref="A20:C20"/>
    <mergeCell ref="F37:H37"/>
    <mergeCell ref="A38:C38"/>
    <mergeCell ref="F39:H39"/>
    <mergeCell ref="A10:C10"/>
    <mergeCell ref="A28:C28"/>
    <mergeCell ref="D16:E16"/>
    <mergeCell ref="A13:C13"/>
    <mergeCell ref="A19:C19"/>
    <mergeCell ref="D7:E7"/>
    <mergeCell ref="A31:C31"/>
    <mergeCell ref="A9:C9"/>
    <mergeCell ref="D28:E28"/>
    <mergeCell ref="D4:E4"/>
    <mergeCell ref="A39:C39"/>
    <mergeCell ref="D18:E18"/>
    <mergeCell ref="A15:C15"/>
    <mergeCell ref="A34:C34"/>
    <mergeCell ref="D9:E9"/>
    <mergeCell ref="A25:J25"/>
    <mergeCell ref="A41:J41"/>
    <mergeCell ref="D8:E8"/>
    <mergeCell ref="F34:H34"/>
    <mergeCell ref="A36:C36"/>
    <mergeCell ref="D15:E15"/>
    <mergeCell ref="D5:E5"/>
    <mergeCell ref="A3:J3"/>
    <mergeCell ref="A6:C6"/>
    <mergeCell ref="D23:E23"/>
    <mergeCell ref="A12:J12"/>
    <mergeCell ref="D14:E14"/>
    <mergeCell ref="A7:C7"/>
    <mergeCell ref="D26:E26"/>
    <mergeCell ref="A16:C16"/>
    <mergeCell ref="F4:J4"/>
  </mergeCells>
  <conditionalFormatting sqref="D43:D92">
    <cfRule type="expression" priority="1" dxfId="0">
      <formula>AND($D43&lt;&gt;"",NOT(ISNUMBER(MATCH($D43,Katalog_Leistung,0))),OR($G43="",NOT(ISNUMBER($H43)),NOT(ISNUMBER($I43))))</formula>
    </cfRule>
  </conditionalFormatting>
  <conditionalFormatting sqref="G43:G92">
    <cfRule type="expression" priority="2" dxfId="0">
      <formula>AND($D43&lt;&gt;"",NOT(ISNUMBER(MATCH($D43,Katalog_Leistung,0))),$G43="")</formula>
    </cfRule>
  </conditionalFormatting>
  <conditionalFormatting sqref="H43:H92">
    <cfRule type="expression" priority="3" dxfId="0">
      <formula>AND($D43&lt;&gt;"",NOT(ISNUMBER(MATCH($D43,Katalog_Leistung,0))),NOT(ISNUMBER($H43)))</formula>
    </cfRule>
  </conditionalFormatting>
  <conditionalFormatting sqref="I43:I92">
    <cfRule type="expression" priority="4" dxfId="0">
      <formula>AND($D43&lt;&gt;"",NOT(ISNUMBER(MATCH($D43,Katalog_Leistung,0))),NOT(ISNUMBER($I43)))</formula>
    </cfRule>
  </conditionalFormatting>
  <conditionalFormatting sqref="E43:E92">
    <cfRule type="expression" priority="5" dxfId="0">
      <formula>AND($D43&lt;&gt;"",NOT(ISNUMBER($E43)))</formula>
    </cfRule>
  </conditionalFormatting>
  <conditionalFormatting sqref="C43:C92">
    <cfRule type="expression" priority="6" dxfId="0">
      <formula>AND($D43&lt;&gt;"",ISNUMBER(MATCH($D43,Katalog_Leistung,0)),INDEX(Katalog_Kategorie,MATCH($D43,Katalog_Leistung,0))&lt;&gt;$C43)</formula>
    </cfRule>
  </conditionalFormatting>
  <conditionalFormatting sqref="J43:J92">
    <cfRule type="expression" priority="7" dxfId="1">
      <formula>AND($D43&lt;&gt;"",LEN($D43)+IF($J43="",0,LEN($J43)+3)+IF(OR($B43="",$B43=INDEX(Bereiche,1)),0,LEN($B43)+3)&gt;95)</formula>
    </cfRule>
  </conditionalFormatting>
  <conditionalFormatting sqref="F26:H28">
    <cfRule type="expression" priority="8" dxfId="0">
      <formula>LEFT($F26,1)="!"</formula>
    </cfRule>
  </conditionalFormatting>
  <conditionalFormatting sqref="F31:H39">
    <cfRule type="expression" priority="9" dxfId="0">
      <formula>LEFT($F31,1)="!"</formula>
    </cfRule>
  </conditionalFormatting>
  <dataValidations count="15">
    <dataValidation sqref="C43:C92" showDropDown="0" showInputMessage="0" showErrorMessage="1" allowBlank="1" errorTitle="Kategorie unbekannt" error="Bitte eine Kategorie aus der Liste wählen." type="list">
      <formula1>Kategorien</formula1>
    </dataValidation>
    <dataValidation sqref="D43:D92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OFFSET(Sort_Leistung,MATCH($C43,Sort_Kategorie,0)-1,0,COUNTIF(Sort_Kategorie,$C43),1)</formula1>
    </dataValidation>
    <dataValidation sqref="B43:B92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3:E92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3:H92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3:I92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1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2 D33 D34 D36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9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5" showDropDown="0" showInputMessage="0" showErrorMessage="1" allowBlank="0" errorTitle="Steuersatz ungültig" error="Bitte einen Satz aus der Liste wählen." type="list">
      <formula1>USt_Saetze</formula1>
    </dataValidation>
    <dataValidation sqref="D37 D38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6" showDropDown="0" showInputMessage="0" showErrorMessage="1" allowBlank="0" errorTitle="Dokumentart ungültig" error="Bitte eine Dokumentart aus der Liste wählen." type="list">
      <formula1>Dokumentarten</formula1>
    </dataValidation>
    <dataValidation sqref="D27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8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Bauteil / Geschoss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IF($D4="","",Eingabe!A43)</f>
        <v/>
      </c>
      <c r="B4" s="13">
        <f>IF($D4="","",IF(Eingabe!B43="","",Eingabe!B43))</f>
        <v/>
      </c>
      <c r="C4" s="13">
        <f>IF($D4="","",IF(Eingabe!C43="","",Eingabe!C43))</f>
        <v/>
      </c>
      <c r="D4" s="13">
        <f>IF(Eingabe!D43="","",Eingabe!D43)</f>
        <v/>
      </c>
      <c r="E4" s="26">
        <f>IF($D4="","",IF(ISNUMBER(Eingabe!E43),Eingabe!E43,0))</f>
        <v/>
      </c>
      <c r="F4" s="21">
        <f>IF($D4="","",IF(Eingabe!G43&lt;&gt;"",Eingabe!G43,IFERROR(INDEX(Katalog_Einheit,MATCH($D4,Katalog_Leistung,0)),"?")))</f>
        <v/>
      </c>
      <c r="G4" s="27">
        <f>IF($D4="","",IF(ISNUMBER(Eingabe!H43),Eingabe!H43,IFERROR(INDEX(Katalog_Material,MATCH($D4,Katalog_Leistung,0)),0)*(1+IF(ISNUMBER(Eingabe!$D$39),Eingabe!$D$39,0))))</f>
        <v/>
      </c>
      <c r="H4" s="28">
        <f>IF($D4="","",IF(ISNUMBER(Eingabe!I43),Eingabe!I43,IFERROR(INDEX(Katalog_Zeit,MATCH($D4,Katalog_Leistung,0)),0)))</f>
        <v/>
      </c>
      <c r="I4" s="27">
        <f>IF($D4="","",ROUND($E4*$G4,2))</f>
        <v/>
      </c>
      <c r="J4" s="27">
        <f>IF($D4="","",ROUND($I4*IF(ISNUMBER(Eingabe!$D$32),Eingabe!$D$32,0),2))</f>
        <v/>
      </c>
      <c r="K4" s="28">
        <f>IF($D4="","",$E4*$H4)</f>
        <v/>
      </c>
      <c r="L4" s="27">
        <f>IF($D4="","",ROUND($K4*IF(ISNUMBER(Eingabe!$D$31),Eingabe!$D$31,0),2))</f>
        <v/>
      </c>
      <c r="M4" s="27">
        <f>IF($D4="","",$I4+$J4+$L4)</f>
        <v/>
      </c>
      <c r="N4" s="27">
        <f>IF($D4="","",ROUND($M4*IF(ISNUMBER(Eingabe!$D$33),Eingabe!$D$33,0),2))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IF($D4="","",IF(ISNA(MATCH($D4,Katalog_Leistung,0)),IF(OR(Eingabe!G43="",NOT(ISNUMBER(Eingabe!H43)),NOT(ISNUMBER(Eingabe!I43))),"! Freie Position: Einheit, Material und Zeit in Spalte G, H und I eintragen",IF(NOT(ISNUMBER(Eingabe!E43)),"!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Leistung",IF(NOT(ISNUMBER(Eingabe!E43)),"! Menge fehlt oder ist keine Zahl",IF($E4&lt;=0,"! Menge muss größer 0 sein",IF(OR(Eingabe!G43&lt;&gt;"",ISNUMBER(Eingabe!H43),ISNUMBER(Eingabe!I43)),"OK - manueller Wert überschreibt Katalog","OK")))))))</f>
        <v/>
      </c>
    </row>
    <row r="5">
      <c r="A5" s="21">
        <f>IF($D5="","",Eingabe!A44)</f>
        <v/>
      </c>
      <c r="B5" s="13">
        <f>IF($D5="","",IF(Eingabe!B44="","",Eingabe!B44))</f>
        <v/>
      </c>
      <c r="C5" s="13">
        <f>IF($D5="","",IF(Eingabe!C44="","",Eingabe!C44))</f>
        <v/>
      </c>
      <c r="D5" s="13">
        <f>IF(Eingabe!D44="","",Eingabe!D44)</f>
        <v/>
      </c>
      <c r="E5" s="26">
        <f>IF($D5="","",IF(ISNUMBER(Eingabe!E44),Eingabe!E44,0))</f>
        <v/>
      </c>
      <c r="F5" s="21">
        <f>IF($D5="","",IF(Eingabe!G44&lt;&gt;"",Eingabe!G44,IFERROR(INDEX(Katalog_Einheit,MATCH($D5,Katalog_Leistung,0)),"?")))</f>
        <v/>
      </c>
      <c r="G5" s="27">
        <f>IF($D5="","",IF(ISNUMBER(Eingabe!H44),Eingabe!H44,IFERROR(INDEX(Katalog_Material,MATCH($D5,Katalog_Leistung,0)),0)*(1+IF(ISNUMBER(Eingabe!$D$39),Eingabe!$D$39,0))))</f>
        <v/>
      </c>
      <c r="H5" s="28">
        <f>IF($D5="","",IF(ISNUMBER(Eingabe!I44),Eingabe!I44,IFERROR(INDEX(Katalog_Zeit,MATCH($D5,Katalog_Leistung,0)),0)))</f>
        <v/>
      </c>
      <c r="I5" s="27">
        <f>IF($D5="","",ROUND($E5*$G5,2))</f>
        <v/>
      </c>
      <c r="J5" s="27">
        <f>IF($D5="","",ROUND($I5*IF(ISNUMBER(Eingabe!$D$32),Eingabe!$D$32,0),2))</f>
        <v/>
      </c>
      <c r="K5" s="28">
        <f>IF($D5="","",$E5*$H5)</f>
        <v/>
      </c>
      <c r="L5" s="27">
        <f>IF($D5="","",ROUND($K5*IF(ISNUMBER(Eingabe!$D$31),Eingabe!$D$31,0),2))</f>
        <v/>
      </c>
      <c r="M5" s="27">
        <f>IF($D5="","",$I5+$J5+$L5)</f>
        <v/>
      </c>
      <c r="N5" s="27">
        <f>IF($D5="","",ROUND($M5*IF(ISNUMBER(Eingabe!$D$33),Eingabe!$D$33,0),2))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IF($D5="","",IF(ISNA(MATCH($D5,Katalog_Leistung,0)),IF(OR(Eingabe!G44="",NOT(ISNUMBER(Eingabe!H44)),NOT(ISNUMBER(Eingabe!I44))),"! Freie Position: Einheit, Material und Zeit in Spalte G, H und I eintragen",IF(NOT(ISNUMBER(Eingabe!E44)),"!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Leistung",IF(NOT(ISNUMBER(Eingabe!E44)),"! Menge fehlt oder ist keine Zahl",IF($E5&lt;=0,"! Menge muss größer 0 sein",IF(OR(Eingabe!G44&lt;&gt;"",ISNUMBER(Eingabe!H44),ISNUMBER(Eingabe!I44)),"OK - manueller Wert überschreibt Katalog","OK")))))))</f>
        <v/>
      </c>
    </row>
    <row r="6">
      <c r="A6" s="21">
        <f>IF($D6="","",Eingabe!A45)</f>
        <v/>
      </c>
      <c r="B6" s="13">
        <f>IF($D6="","",IF(Eingabe!B45="","",Eingabe!B45))</f>
        <v/>
      </c>
      <c r="C6" s="13">
        <f>IF($D6="","",IF(Eingabe!C45="","",Eingabe!C45))</f>
        <v/>
      </c>
      <c r="D6" s="13">
        <f>IF(Eingabe!D45="","",Eingabe!D45)</f>
        <v/>
      </c>
      <c r="E6" s="26">
        <f>IF($D6="","",IF(ISNUMBER(Eingabe!E45),Eingabe!E45,0))</f>
        <v/>
      </c>
      <c r="F6" s="21">
        <f>IF($D6="","",IF(Eingabe!G45&lt;&gt;"",Eingabe!G45,IFERROR(INDEX(Katalog_Einheit,MATCH($D6,Katalog_Leistung,0)),"?")))</f>
        <v/>
      </c>
      <c r="G6" s="27">
        <f>IF($D6="","",IF(ISNUMBER(Eingabe!H45),Eingabe!H45,IFERROR(INDEX(Katalog_Material,MATCH($D6,Katalog_Leistung,0)),0)*(1+IF(ISNUMBER(Eingabe!$D$39),Eingabe!$D$39,0))))</f>
        <v/>
      </c>
      <c r="H6" s="28">
        <f>IF($D6="","",IF(ISNUMBER(Eingabe!I45),Eingabe!I45,IFERROR(INDEX(Katalog_Zeit,MATCH($D6,Katalog_Leistung,0)),0)))</f>
        <v/>
      </c>
      <c r="I6" s="27">
        <f>IF($D6="","",ROUND($E6*$G6,2))</f>
        <v/>
      </c>
      <c r="J6" s="27">
        <f>IF($D6="","",ROUND($I6*IF(ISNUMBER(Eingabe!$D$32),Eingabe!$D$32,0),2))</f>
        <v/>
      </c>
      <c r="K6" s="28">
        <f>IF($D6="","",$E6*$H6)</f>
        <v/>
      </c>
      <c r="L6" s="27">
        <f>IF($D6="","",ROUND($K6*IF(ISNUMBER(Eingabe!$D$31),Eingabe!$D$31,0),2))</f>
        <v/>
      </c>
      <c r="M6" s="27">
        <f>IF($D6="","",$I6+$J6+$L6)</f>
        <v/>
      </c>
      <c r="N6" s="27">
        <f>IF($D6="","",ROUND($M6*IF(ISNUMBER(Eingabe!$D$33),Eingabe!$D$33,0),2))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IF($D6="","",IF(ISNA(MATCH($D6,Katalog_Leistung,0)),IF(OR(Eingabe!G45="",NOT(ISNUMBER(Eingabe!H45)),NOT(ISNUMBER(Eingabe!I45))),"! Freie Position: Einheit, Material und Zeit in Spalte G, H und I eintragen",IF(NOT(ISNUMBER(Eingabe!E45)),"!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Leistung",IF(NOT(ISNUMBER(Eingabe!E45)),"! Menge fehlt oder ist keine Zahl",IF($E6&lt;=0,"! Menge muss größer 0 sein",IF(OR(Eingabe!G45&lt;&gt;"",ISNUMBER(Eingabe!H45),ISNUMBER(Eingabe!I45)),"OK - manueller Wert überschreibt Katalog","OK")))))))</f>
        <v/>
      </c>
    </row>
    <row r="7">
      <c r="A7" s="21">
        <f>IF($D7="","",Eingabe!A46)</f>
        <v/>
      </c>
      <c r="B7" s="13">
        <f>IF($D7="","",IF(Eingabe!B46="","",Eingabe!B46))</f>
        <v/>
      </c>
      <c r="C7" s="13">
        <f>IF($D7="","",IF(Eingabe!C46="","",Eingabe!C46))</f>
        <v/>
      </c>
      <c r="D7" s="13">
        <f>IF(Eingabe!D46="","",Eingabe!D46)</f>
        <v/>
      </c>
      <c r="E7" s="26">
        <f>IF($D7="","",IF(ISNUMBER(Eingabe!E46),Eingabe!E46,0))</f>
        <v/>
      </c>
      <c r="F7" s="21">
        <f>IF($D7="","",IF(Eingabe!G46&lt;&gt;"",Eingabe!G46,IFERROR(INDEX(Katalog_Einheit,MATCH($D7,Katalog_Leistung,0)),"?")))</f>
        <v/>
      </c>
      <c r="G7" s="27">
        <f>IF($D7="","",IF(ISNUMBER(Eingabe!H46),Eingabe!H46,IFERROR(INDEX(Katalog_Material,MATCH($D7,Katalog_Leistung,0)),0)*(1+IF(ISNUMBER(Eingabe!$D$39),Eingabe!$D$39,0))))</f>
        <v/>
      </c>
      <c r="H7" s="28">
        <f>IF($D7="","",IF(ISNUMBER(Eingabe!I46),Eingabe!I46,IFERROR(INDEX(Katalog_Zeit,MATCH($D7,Katalog_Leistung,0)),0)))</f>
        <v/>
      </c>
      <c r="I7" s="27">
        <f>IF($D7="","",ROUND($E7*$G7,2))</f>
        <v/>
      </c>
      <c r="J7" s="27">
        <f>IF($D7="","",ROUND($I7*IF(ISNUMBER(Eingabe!$D$32),Eingabe!$D$32,0),2))</f>
        <v/>
      </c>
      <c r="K7" s="28">
        <f>IF($D7="","",$E7*$H7)</f>
        <v/>
      </c>
      <c r="L7" s="27">
        <f>IF($D7="","",ROUND($K7*IF(ISNUMBER(Eingabe!$D$31),Eingabe!$D$31,0),2))</f>
        <v/>
      </c>
      <c r="M7" s="27">
        <f>IF($D7="","",$I7+$J7+$L7)</f>
        <v/>
      </c>
      <c r="N7" s="27">
        <f>IF($D7="","",ROUND($M7*IF(ISNUMBER(Eingabe!$D$33),Eingabe!$D$33,0),2))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IF($D7="","",IF(ISNA(MATCH($D7,Katalog_Leistung,0)),IF(OR(Eingabe!G46="",NOT(ISNUMBER(Eingabe!H46)),NOT(ISNUMBER(Eingabe!I46))),"! Freie Position: Einheit, Material und Zeit in Spalte G, H und I eintragen",IF(NOT(ISNUMBER(Eingabe!E46)),"!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Leistung",IF(NOT(ISNUMBER(Eingabe!E46)),"! Menge fehlt oder ist keine Zahl",IF($E7&lt;=0,"! Menge muss größer 0 sein",IF(OR(Eingabe!G46&lt;&gt;"",ISNUMBER(Eingabe!H46),ISNUMBER(Eingabe!I46)),"OK - manueller Wert überschreibt Katalog","OK")))))))</f>
        <v/>
      </c>
    </row>
    <row r="8">
      <c r="A8" s="21">
        <f>IF($D8="","",Eingabe!A47)</f>
        <v/>
      </c>
      <c r="B8" s="13">
        <f>IF($D8="","",IF(Eingabe!B47="","",Eingabe!B47))</f>
        <v/>
      </c>
      <c r="C8" s="13">
        <f>IF($D8="","",IF(Eingabe!C47="","",Eingabe!C47))</f>
        <v/>
      </c>
      <c r="D8" s="13">
        <f>IF(Eingabe!D47="","",Eingabe!D47)</f>
        <v/>
      </c>
      <c r="E8" s="26">
        <f>IF($D8="","",IF(ISNUMBER(Eingabe!E47),Eingabe!E47,0))</f>
        <v/>
      </c>
      <c r="F8" s="21">
        <f>IF($D8="","",IF(Eingabe!G47&lt;&gt;"",Eingabe!G47,IFERROR(INDEX(Katalog_Einheit,MATCH($D8,Katalog_Leistung,0)),"?")))</f>
        <v/>
      </c>
      <c r="G8" s="27">
        <f>IF($D8="","",IF(ISNUMBER(Eingabe!H47),Eingabe!H47,IFERROR(INDEX(Katalog_Material,MATCH($D8,Katalog_Leistung,0)),0)*(1+IF(ISNUMBER(Eingabe!$D$39),Eingabe!$D$39,0))))</f>
        <v/>
      </c>
      <c r="H8" s="28">
        <f>IF($D8="","",IF(ISNUMBER(Eingabe!I47),Eingabe!I47,IFERROR(INDEX(Katalog_Zeit,MATCH($D8,Katalog_Leistung,0)),0)))</f>
        <v/>
      </c>
      <c r="I8" s="27">
        <f>IF($D8="","",ROUND($E8*$G8,2))</f>
        <v/>
      </c>
      <c r="J8" s="27">
        <f>IF($D8="","",ROUND($I8*IF(ISNUMBER(Eingabe!$D$32),Eingabe!$D$32,0),2))</f>
        <v/>
      </c>
      <c r="K8" s="28">
        <f>IF($D8="","",$E8*$H8)</f>
        <v/>
      </c>
      <c r="L8" s="27">
        <f>IF($D8="","",ROUND($K8*IF(ISNUMBER(Eingabe!$D$31),Eingabe!$D$31,0),2))</f>
        <v/>
      </c>
      <c r="M8" s="27">
        <f>IF($D8="","",$I8+$J8+$L8)</f>
        <v/>
      </c>
      <c r="N8" s="27">
        <f>IF($D8="","",ROUND($M8*IF(ISNUMBER(Eingabe!$D$33),Eingabe!$D$33,0),2))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IF($D8="","",IF(ISNA(MATCH($D8,Katalog_Leistung,0)),IF(OR(Eingabe!G47="",NOT(ISNUMBER(Eingabe!H47)),NOT(ISNUMBER(Eingabe!I47))),"! Freie Position: Einheit, Material und Zeit in Spalte G, H und I eintragen",IF(NOT(ISNUMBER(Eingabe!E47)),"!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Leistung",IF(NOT(ISNUMBER(Eingabe!E47)),"! Menge fehlt oder ist keine Zahl",IF($E8&lt;=0,"! Menge muss größer 0 sein",IF(OR(Eingabe!G47&lt;&gt;"",ISNUMBER(Eingabe!H47),ISNUMBER(Eingabe!I47)),"OK - manueller Wert überschreibt Katalog","OK")))))))</f>
        <v/>
      </c>
    </row>
    <row r="9">
      <c r="A9" s="21">
        <f>IF($D9="","",Eingabe!A48)</f>
        <v/>
      </c>
      <c r="B9" s="13">
        <f>IF($D9="","",IF(Eingabe!B48="","",Eingabe!B48))</f>
        <v/>
      </c>
      <c r="C9" s="13">
        <f>IF($D9="","",IF(Eingabe!C48="","",Eingabe!C48))</f>
        <v/>
      </c>
      <c r="D9" s="13">
        <f>IF(Eingabe!D48="","",Eingabe!D48)</f>
        <v/>
      </c>
      <c r="E9" s="26">
        <f>IF($D9="","",IF(ISNUMBER(Eingabe!E48),Eingabe!E48,0))</f>
        <v/>
      </c>
      <c r="F9" s="21">
        <f>IF($D9="","",IF(Eingabe!G48&lt;&gt;"",Eingabe!G48,IFERROR(INDEX(Katalog_Einheit,MATCH($D9,Katalog_Leistung,0)),"?")))</f>
        <v/>
      </c>
      <c r="G9" s="27">
        <f>IF($D9="","",IF(ISNUMBER(Eingabe!H48),Eingabe!H48,IFERROR(INDEX(Katalog_Material,MATCH($D9,Katalog_Leistung,0)),0)*(1+IF(ISNUMBER(Eingabe!$D$39),Eingabe!$D$39,0))))</f>
        <v/>
      </c>
      <c r="H9" s="28">
        <f>IF($D9="","",IF(ISNUMBER(Eingabe!I48),Eingabe!I48,IFERROR(INDEX(Katalog_Zeit,MATCH($D9,Katalog_Leistung,0)),0)))</f>
        <v/>
      </c>
      <c r="I9" s="27">
        <f>IF($D9="","",ROUND($E9*$G9,2))</f>
        <v/>
      </c>
      <c r="J9" s="27">
        <f>IF($D9="","",ROUND($I9*IF(ISNUMBER(Eingabe!$D$32),Eingabe!$D$32,0),2))</f>
        <v/>
      </c>
      <c r="K9" s="28">
        <f>IF($D9="","",$E9*$H9)</f>
        <v/>
      </c>
      <c r="L9" s="27">
        <f>IF($D9="","",ROUND($K9*IF(ISNUMBER(Eingabe!$D$31),Eingabe!$D$31,0),2))</f>
        <v/>
      </c>
      <c r="M9" s="27">
        <f>IF($D9="","",$I9+$J9+$L9)</f>
        <v/>
      </c>
      <c r="N9" s="27">
        <f>IF($D9="","",ROUND($M9*IF(ISNUMBER(Eingabe!$D$33),Eingabe!$D$33,0),2))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IF($D9="","",IF(ISNA(MATCH($D9,Katalog_Leistung,0)),IF(OR(Eingabe!G48="",NOT(ISNUMBER(Eingabe!H48)),NOT(ISNUMBER(Eingabe!I48))),"! Freie Position: Einheit, Material und Zeit in Spalte G, H und I eintragen",IF(NOT(ISNUMBER(Eingabe!E48)),"!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Leistung",IF(NOT(ISNUMBER(Eingabe!E48)),"! Menge fehlt oder ist keine Zahl",IF($E9&lt;=0,"! Menge muss größer 0 sein",IF(OR(Eingabe!G48&lt;&gt;"",ISNUMBER(Eingabe!H48),ISNUMBER(Eingabe!I48)),"OK - manueller Wert überschreibt Katalog","OK")))))))</f>
        <v/>
      </c>
    </row>
    <row r="10">
      <c r="A10" s="21">
        <f>IF($D10="","",Eingabe!A49)</f>
        <v/>
      </c>
      <c r="B10" s="13">
        <f>IF($D10="","",IF(Eingabe!B49="","",Eingabe!B49))</f>
        <v/>
      </c>
      <c r="C10" s="13">
        <f>IF($D10="","",IF(Eingabe!C49="","",Eingabe!C49))</f>
        <v/>
      </c>
      <c r="D10" s="13">
        <f>IF(Eingabe!D49="","",Eingabe!D49)</f>
        <v/>
      </c>
      <c r="E10" s="26">
        <f>IF($D10="","",IF(ISNUMBER(Eingabe!E49),Eingabe!E49,0))</f>
        <v/>
      </c>
      <c r="F10" s="21">
        <f>IF($D10="","",IF(Eingabe!G49&lt;&gt;"",Eingabe!G49,IFERROR(INDEX(Katalog_Einheit,MATCH($D10,Katalog_Leistung,0)),"?")))</f>
        <v/>
      </c>
      <c r="G10" s="27">
        <f>IF($D10="","",IF(ISNUMBER(Eingabe!H49),Eingabe!H49,IFERROR(INDEX(Katalog_Material,MATCH($D10,Katalog_Leistung,0)),0)*(1+IF(ISNUMBER(Eingabe!$D$39),Eingabe!$D$39,0))))</f>
        <v/>
      </c>
      <c r="H10" s="28">
        <f>IF($D10="","",IF(ISNUMBER(Eingabe!I49),Eingabe!I49,IFERROR(INDEX(Katalog_Zeit,MATCH($D10,Katalog_Leistung,0)),0)))</f>
        <v/>
      </c>
      <c r="I10" s="27">
        <f>IF($D10="","",ROUND($E10*$G10,2))</f>
        <v/>
      </c>
      <c r="J10" s="27">
        <f>IF($D10="","",ROUND($I10*IF(ISNUMBER(Eingabe!$D$32),Eingabe!$D$32,0),2))</f>
        <v/>
      </c>
      <c r="K10" s="28">
        <f>IF($D10="","",$E10*$H10)</f>
        <v/>
      </c>
      <c r="L10" s="27">
        <f>IF($D10="","",ROUND($K10*IF(ISNUMBER(Eingabe!$D$31),Eingabe!$D$31,0),2))</f>
        <v/>
      </c>
      <c r="M10" s="27">
        <f>IF($D10="","",$I10+$J10+$L10)</f>
        <v/>
      </c>
      <c r="N10" s="27">
        <f>IF($D10="","",ROUND($M10*IF(ISNUMBER(Eingabe!$D$33),Eingabe!$D$33,0),2))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IF($D10="","",IF(ISNA(MATCH($D10,Katalog_Leistung,0)),IF(OR(Eingabe!G49="",NOT(ISNUMBER(Eingabe!H49)),NOT(ISNUMBER(Eingabe!I49))),"! Freie Position: Einheit, Material und Zeit in Spalte G, H und I eintragen",IF(NOT(ISNUMBER(Eingabe!E49)),"!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Leistung",IF(NOT(ISNUMBER(Eingabe!E49)),"! Menge fehlt oder ist keine Zahl",IF($E10&lt;=0,"! Menge muss größer 0 sein",IF(OR(Eingabe!G49&lt;&gt;"",ISNUMBER(Eingabe!H49),ISNUMBER(Eingabe!I49)),"OK - manueller Wert überschreibt Katalog","OK")))))))</f>
        <v/>
      </c>
    </row>
    <row r="11">
      <c r="A11" s="21">
        <f>IF($D11="","",Eingabe!A50)</f>
        <v/>
      </c>
      <c r="B11" s="13">
        <f>IF($D11="","",IF(Eingabe!B50="","",Eingabe!B50))</f>
        <v/>
      </c>
      <c r="C11" s="13">
        <f>IF($D11="","",IF(Eingabe!C50="","",Eingabe!C50))</f>
        <v/>
      </c>
      <c r="D11" s="13">
        <f>IF(Eingabe!D50="","",Eingabe!D50)</f>
        <v/>
      </c>
      <c r="E11" s="26">
        <f>IF($D11="","",IF(ISNUMBER(Eingabe!E50),Eingabe!E50,0))</f>
        <v/>
      </c>
      <c r="F11" s="21">
        <f>IF($D11="","",IF(Eingabe!G50&lt;&gt;"",Eingabe!G50,IFERROR(INDEX(Katalog_Einheit,MATCH($D11,Katalog_Leistung,0)),"?")))</f>
        <v/>
      </c>
      <c r="G11" s="27">
        <f>IF($D11="","",IF(ISNUMBER(Eingabe!H50),Eingabe!H50,IFERROR(INDEX(Katalog_Material,MATCH($D11,Katalog_Leistung,0)),0)*(1+IF(ISNUMBER(Eingabe!$D$39),Eingabe!$D$39,0))))</f>
        <v/>
      </c>
      <c r="H11" s="28">
        <f>IF($D11="","",IF(ISNUMBER(Eingabe!I50),Eingabe!I50,IFERROR(INDEX(Katalog_Zeit,MATCH($D11,Katalog_Leistung,0)),0)))</f>
        <v/>
      </c>
      <c r="I11" s="27">
        <f>IF($D11="","",ROUND($E11*$G11,2))</f>
        <v/>
      </c>
      <c r="J11" s="27">
        <f>IF($D11="","",ROUND($I11*IF(ISNUMBER(Eingabe!$D$32),Eingabe!$D$32,0),2))</f>
        <v/>
      </c>
      <c r="K11" s="28">
        <f>IF($D11="","",$E11*$H11)</f>
        <v/>
      </c>
      <c r="L11" s="27">
        <f>IF($D11="","",ROUND($K11*IF(ISNUMBER(Eingabe!$D$31),Eingabe!$D$31,0),2))</f>
        <v/>
      </c>
      <c r="M11" s="27">
        <f>IF($D11="","",$I11+$J11+$L11)</f>
        <v/>
      </c>
      <c r="N11" s="27">
        <f>IF($D11="","",ROUND($M11*IF(ISNUMBER(Eingabe!$D$33),Eingabe!$D$33,0),2))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IF($D11="","",IF(ISNA(MATCH($D11,Katalog_Leistung,0)),IF(OR(Eingabe!G50="",NOT(ISNUMBER(Eingabe!H50)),NOT(ISNUMBER(Eingabe!I50))),"! Freie Position: Einheit, Material und Zeit in Spalte G, H und I eintragen",IF(NOT(ISNUMBER(Eingabe!E50)),"!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Leistung",IF(NOT(ISNUMBER(Eingabe!E50)),"! Menge fehlt oder ist keine Zahl",IF($E11&lt;=0,"! Menge muss größer 0 sein",IF(OR(Eingabe!G50&lt;&gt;"",ISNUMBER(Eingabe!H50),ISNUMBER(Eingabe!I50)),"OK - manueller Wert überschreibt Katalog","OK")))))))</f>
        <v/>
      </c>
    </row>
    <row r="12">
      <c r="A12" s="21">
        <f>IF($D12="","",Eingabe!A51)</f>
        <v/>
      </c>
      <c r="B12" s="13">
        <f>IF($D12="","",IF(Eingabe!B51="","",Eingabe!B51))</f>
        <v/>
      </c>
      <c r="C12" s="13">
        <f>IF($D12="","",IF(Eingabe!C51="","",Eingabe!C51))</f>
        <v/>
      </c>
      <c r="D12" s="13">
        <f>IF(Eingabe!D51="","",Eingabe!D51)</f>
        <v/>
      </c>
      <c r="E12" s="26">
        <f>IF($D12="","",IF(ISNUMBER(Eingabe!E51),Eingabe!E51,0))</f>
        <v/>
      </c>
      <c r="F12" s="21">
        <f>IF($D12="","",IF(Eingabe!G51&lt;&gt;"",Eingabe!G51,IFERROR(INDEX(Katalog_Einheit,MATCH($D12,Katalog_Leistung,0)),"?")))</f>
        <v/>
      </c>
      <c r="G12" s="27">
        <f>IF($D12="","",IF(ISNUMBER(Eingabe!H51),Eingabe!H51,IFERROR(INDEX(Katalog_Material,MATCH($D12,Katalog_Leistung,0)),0)*(1+IF(ISNUMBER(Eingabe!$D$39),Eingabe!$D$39,0))))</f>
        <v/>
      </c>
      <c r="H12" s="28">
        <f>IF($D12="","",IF(ISNUMBER(Eingabe!I51),Eingabe!I51,IFERROR(INDEX(Katalog_Zeit,MATCH($D12,Katalog_Leistung,0)),0)))</f>
        <v/>
      </c>
      <c r="I12" s="27">
        <f>IF($D12="","",ROUND($E12*$G12,2))</f>
        <v/>
      </c>
      <c r="J12" s="27">
        <f>IF($D12="","",ROUND($I12*IF(ISNUMBER(Eingabe!$D$32),Eingabe!$D$32,0),2))</f>
        <v/>
      </c>
      <c r="K12" s="28">
        <f>IF($D12="","",$E12*$H12)</f>
        <v/>
      </c>
      <c r="L12" s="27">
        <f>IF($D12="","",ROUND($K12*IF(ISNUMBER(Eingabe!$D$31),Eingabe!$D$31,0),2))</f>
        <v/>
      </c>
      <c r="M12" s="27">
        <f>IF($D12="","",$I12+$J12+$L12)</f>
        <v/>
      </c>
      <c r="N12" s="27">
        <f>IF($D12="","",ROUND($M12*IF(ISNUMBER(Eingabe!$D$33),Eingabe!$D$33,0),2))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IF($D12="","",IF(ISNA(MATCH($D12,Katalog_Leistung,0)),IF(OR(Eingabe!G51="",NOT(ISNUMBER(Eingabe!H51)),NOT(ISNUMBER(Eingabe!I51))),"! Freie Position: Einheit, Material und Zeit in Spalte G, H und I eintragen",IF(NOT(ISNUMBER(Eingabe!E51)),"!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Leistung",IF(NOT(ISNUMBER(Eingabe!E51)),"! Menge fehlt oder ist keine Zahl",IF($E12&lt;=0,"! Menge muss größer 0 sein",IF(OR(Eingabe!G51&lt;&gt;"",ISNUMBER(Eingabe!H51),ISNUMBER(Eingabe!I51)),"OK - manueller Wert überschreibt Katalog","OK")))))))</f>
        <v/>
      </c>
    </row>
    <row r="13">
      <c r="A13" s="21">
        <f>IF($D13="","",Eingabe!A52)</f>
        <v/>
      </c>
      <c r="B13" s="13">
        <f>IF($D13="","",IF(Eingabe!B52="","",Eingabe!B52))</f>
        <v/>
      </c>
      <c r="C13" s="13">
        <f>IF($D13="","",IF(Eingabe!C52="","",Eingabe!C52))</f>
        <v/>
      </c>
      <c r="D13" s="13">
        <f>IF(Eingabe!D52="","",Eingabe!D52)</f>
        <v/>
      </c>
      <c r="E13" s="26">
        <f>IF($D13="","",IF(ISNUMBER(Eingabe!E52),Eingabe!E52,0))</f>
        <v/>
      </c>
      <c r="F13" s="21">
        <f>IF($D13="","",IF(Eingabe!G52&lt;&gt;"",Eingabe!G52,IFERROR(INDEX(Katalog_Einheit,MATCH($D13,Katalog_Leistung,0)),"?")))</f>
        <v/>
      </c>
      <c r="G13" s="27">
        <f>IF($D13="","",IF(ISNUMBER(Eingabe!H52),Eingabe!H52,IFERROR(INDEX(Katalog_Material,MATCH($D13,Katalog_Leistung,0)),0)*(1+IF(ISNUMBER(Eingabe!$D$39),Eingabe!$D$39,0))))</f>
        <v/>
      </c>
      <c r="H13" s="28">
        <f>IF($D13="","",IF(ISNUMBER(Eingabe!I52),Eingabe!I52,IFERROR(INDEX(Katalog_Zeit,MATCH($D13,Katalog_Leistung,0)),0)))</f>
        <v/>
      </c>
      <c r="I13" s="27">
        <f>IF($D13="","",ROUND($E13*$G13,2))</f>
        <v/>
      </c>
      <c r="J13" s="27">
        <f>IF($D13="","",ROUND($I13*IF(ISNUMBER(Eingabe!$D$32),Eingabe!$D$32,0),2))</f>
        <v/>
      </c>
      <c r="K13" s="28">
        <f>IF($D13="","",$E13*$H13)</f>
        <v/>
      </c>
      <c r="L13" s="27">
        <f>IF($D13="","",ROUND($K13*IF(ISNUMBER(Eingabe!$D$31),Eingabe!$D$31,0),2))</f>
        <v/>
      </c>
      <c r="M13" s="27">
        <f>IF($D13="","",$I13+$J13+$L13)</f>
        <v/>
      </c>
      <c r="N13" s="27">
        <f>IF($D13="","",ROUND($M13*IF(ISNUMBER(Eingabe!$D$33),Eingabe!$D$33,0),2))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IF($D13="","",IF(ISNA(MATCH($D13,Katalog_Leistung,0)),IF(OR(Eingabe!G52="",NOT(ISNUMBER(Eingabe!H52)),NOT(ISNUMBER(Eingabe!I52))),"! Freie Position: Einheit, Material und Zeit in Spalte G, H und I eintragen",IF(NOT(ISNUMBER(Eingabe!E52)),"!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Leistung",IF(NOT(ISNUMBER(Eingabe!E52)),"! Menge fehlt oder ist keine Zahl",IF($E13&lt;=0,"! Menge muss größer 0 sein",IF(OR(Eingabe!G52&lt;&gt;"",ISNUMBER(Eingabe!H52),ISNUMBER(Eingabe!I52)),"OK - manueller Wert überschreibt Katalog","OK")))))))</f>
        <v/>
      </c>
    </row>
    <row r="14">
      <c r="A14" s="21">
        <f>IF($D14="","",Eingabe!A53)</f>
        <v/>
      </c>
      <c r="B14" s="13">
        <f>IF($D14="","",IF(Eingabe!B53="","",Eingabe!B53))</f>
        <v/>
      </c>
      <c r="C14" s="13">
        <f>IF($D14="","",IF(Eingabe!C53="","",Eingabe!C53))</f>
        <v/>
      </c>
      <c r="D14" s="13">
        <f>IF(Eingabe!D53="","",Eingabe!D53)</f>
        <v/>
      </c>
      <c r="E14" s="26">
        <f>IF($D14="","",IF(ISNUMBER(Eingabe!E53),Eingabe!E53,0))</f>
        <v/>
      </c>
      <c r="F14" s="21">
        <f>IF($D14="","",IF(Eingabe!G53&lt;&gt;"",Eingabe!G53,IFERROR(INDEX(Katalog_Einheit,MATCH($D14,Katalog_Leistung,0)),"?")))</f>
        <v/>
      </c>
      <c r="G14" s="27">
        <f>IF($D14="","",IF(ISNUMBER(Eingabe!H53),Eingabe!H53,IFERROR(INDEX(Katalog_Material,MATCH($D14,Katalog_Leistung,0)),0)*(1+IF(ISNUMBER(Eingabe!$D$39),Eingabe!$D$39,0))))</f>
        <v/>
      </c>
      <c r="H14" s="28">
        <f>IF($D14="","",IF(ISNUMBER(Eingabe!I53),Eingabe!I53,IFERROR(INDEX(Katalog_Zeit,MATCH($D14,Katalog_Leistung,0)),0)))</f>
        <v/>
      </c>
      <c r="I14" s="27">
        <f>IF($D14="","",ROUND($E14*$G14,2))</f>
        <v/>
      </c>
      <c r="J14" s="27">
        <f>IF($D14="","",ROUND($I14*IF(ISNUMBER(Eingabe!$D$32),Eingabe!$D$32,0),2))</f>
        <v/>
      </c>
      <c r="K14" s="28">
        <f>IF($D14="","",$E14*$H14)</f>
        <v/>
      </c>
      <c r="L14" s="27">
        <f>IF($D14="","",ROUND($K14*IF(ISNUMBER(Eingabe!$D$31),Eingabe!$D$31,0),2))</f>
        <v/>
      </c>
      <c r="M14" s="27">
        <f>IF($D14="","",$I14+$J14+$L14)</f>
        <v/>
      </c>
      <c r="N14" s="27">
        <f>IF($D14="","",ROUND($M14*IF(ISNUMBER(Eingabe!$D$33),Eingabe!$D$33,0),2))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IF($D14="","",IF(ISNA(MATCH($D14,Katalog_Leistung,0)),IF(OR(Eingabe!G53="",NOT(ISNUMBER(Eingabe!H53)),NOT(ISNUMBER(Eingabe!I53))),"! Freie Position: Einheit, Material und Zeit in Spalte G, H und I eintragen",IF(NOT(ISNUMBER(Eingabe!E53)),"!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Leistung",IF(NOT(ISNUMBER(Eingabe!E53)),"! Menge fehlt oder ist keine Zahl",IF($E14&lt;=0,"! Menge muss größer 0 sein",IF(OR(Eingabe!G53&lt;&gt;"",ISNUMBER(Eingabe!H53),ISNUMBER(Eingabe!I53)),"OK - manueller Wert überschreibt Katalog","OK")))))))</f>
        <v/>
      </c>
    </row>
    <row r="15">
      <c r="A15" s="21">
        <f>IF($D15="","",Eingabe!A54)</f>
        <v/>
      </c>
      <c r="B15" s="13">
        <f>IF($D15="","",IF(Eingabe!B54="","",Eingabe!B54))</f>
        <v/>
      </c>
      <c r="C15" s="13">
        <f>IF($D15="","",IF(Eingabe!C54="","",Eingabe!C54))</f>
        <v/>
      </c>
      <c r="D15" s="13">
        <f>IF(Eingabe!D54="","",Eingabe!D54)</f>
        <v/>
      </c>
      <c r="E15" s="26">
        <f>IF($D15="","",IF(ISNUMBER(Eingabe!E54),Eingabe!E54,0))</f>
        <v/>
      </c>
      <c r="F15" s="21">
        <f>IF($D15="","",IF(Eingabe!G54&lt;&gt;"",Eingabe!G54,IFERROR(INDEX(Katalog_Einheit,MATCH($D15,Katalog_Leistung,0)),"?")))</f>
        <v/>
      </c>
      <c r="G15" s="27">
        <f>IF($D15="","",IF(ISNUMBER(Eingabe!H54),Eingabe!H54,IFERROR(INDEX(Katalog_Material,MATCH($D15,Katalog_Leistung,0)),0)*(1+IF(ISNUMBER(Eingabe!$D$39),Eingabe!$D$39,0))))</f>
        <v/>
      </c>
      <c r="H15" s="28">
        <f>IF($D15="","",IF(ISNUMBER(Eingabe!I54),Eingabe!I54,IFERROR(INDEX(Katalog_Zeit,MATCH($D15,Katalog_Leistung,0)),0)))</f>
        <v/>
      </c>
      <c r="I15" s="27">
        <f>IF($D15="","",ROUND($E15*$G15,2))</f>
        <v/>
      </c>
      <c r="J15" s="27">
        <f>IF($D15="","",ROUND($I15*IF(ISNUMBER(Eingabe!$D$32),Eingabe!$D$32,0),2))</f>
        <v/>
      </c>
      <c r="K15" s="28">
        <f>IF($D15="","",$E15*$H15)</f>
        <v/>
      </c>
      <c r="L15" s="27">
        <f>IF($D15="","",ROUND($K15*IF(ISNUMBER(Eingabe!$D$31),Eingabe!$D$31,0),2))</f>
        <v/>
      </c>
      <c r="M15" s="27">
        <f>IF($D15="","",$I15+$J15+$L15)</f>
        <v/>
      </c>
      <c r="N15" s="27">
        <f>IF($D15="","",ROUND($M15*IF(ISNUMBER(Eingabe!$D$33),Eingabe!$D$33,0),2))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IF($D15="","",IF(ISNA(MATCH($D15,Katalog_Leistung,0)),IF(OR(Eingabe!G54="",NOT(ISNUMBER(Eingabe!H54)),NOT(ISNUMBER(Eingabe!I54))),"! Freie Position: Einheit, Material und Zeit in Spalte G, H und I eintragen",IF(NOT(ISNUMBER(Eingabe!E54)),"!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Leistung",IF(NOT(ISNUMBER(Eingabe!E54)),"! Menge fehlt oder ist keine Zahl",IF($E15&lt;=0,"! Menge muss größer 0 sein",IF(OR(Eingabe!G54&lt;&gt;"",ISNUMBER(Eingabe!H54),ISNUMBER(Eingabe!I54)),"OK - manueller Wert überschreibt Katalog","OK")))))))</f>
        <v/>
      </c>
    </row>
    <row r="16">
      <c r="A16" s="21">
        <f>IF($D16="","",Eingabe!A55)</f>
        <v/>
      </c>
      <c r="B16" s="13">
        <f>IF($D16="","",IF(Eingabe!B55="","",Eingabe!B55))</f>
        <v/>
      </c>
      <c r="C16" s="13">
        <f>IF($D16="","",IF(Eingabe!C55="","",Eingabe!C55))</f>
        <v/>
      </c>
      <c r="D16" s="13">
        <f>IF(Eingabe!D55="","",Eingabe!D55)</f>
        <v/>
      </c>
      <c r="E16" s="26">
        <f>IF($D16="","",IF(ISNUMBER(Eingabe!E55),Eingabe!E55,0))</f>
        <v/>
      </c>
      <c r="F16" s="21">
        <f>IF($D16="","",IF(Eingabe!G55&lt;&gt;"",Eingabe!G55,IFERROR(INDEX(Katalog_Einheit,MATCH($D16,Katalog_Leistung,0)),"?")))</f>
        <v/>
      </c>
      <c r="G16" s="27">
        <f>IF($D16="","",IF(ISNUMBER(Eingabe!H55),Eingabe!H55,IFERROR(INDEX(Katalog_Material,MATCH($D16,Katalog_Leistung,0)),0)*(1+IF(ISNUMBER(Eingabe!$D$39),Eingabe!$D$39,0))))</f>
        <v/>
      </c>
      <c r="H16" s="28">
        <f>IF($D16="","",IF(ISNUMBER(Eingabe!I55),Eingabe!I55,IFERROR(INDEX(Katalog_Zeit,MATCH($D16,Katalog_Leistung,0)),0)))</f>
        <v/>
      </c>
      <c r="I16" s="27">
        <f>IF($D16="","",ROUND($E16*$G16,2))</f>
        <v/>
      </c>
      <c r="J16" s="27">
        <f>IF($D16="","",ROUND($I16*IF(ISNUMBER(Eingabe!$D$32),Eingabe!$D$32,0),2))</f>
        <v/>
      </c>
      <c r="K16" s="28">
        <f>IF($D16="","",$E16*$H16)</f>
        <v/>
      </c>
      <c r="L16" s="27">
        <f>IF($D16="","",ROUND($K16*IF(ISNUMBER(Eingabe!$D$31),Eingabe!$D$31,0),2))</f>
        <v/>
      </c>
      <c r="M16" s="27">
        <f>IF($D16="","",$I16+$J16+$L16)</f>
        <v/>
      </c>
      <c r="N16" s="27">
        <f>IF($D16="","",ROUND($M16*IF(ISNUMBER(Eingabe!$D$33),Eingabe!$D$33,0),2))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IF($D16="","",IF(ISNA(MATCH($D16,Katalog_Leistung,0)),IF(OR(Eingabe!G55="",NOT(ISNUMBER(Eingabe!H55)),NOT(ISNUMBER(Eingabe!I55))),"! Freie Position: Einheit, Material und Zeit in Spalte G, H und I eintragen",IF(NOT(ISNUMBER(Eingabe!E55)),"!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Leistung",IF(NOT(ISNUMBER(Eingabe!E55)),"! Menge fehlt oder ist keine Zahl",IF($E16&lt;=0,"! Menge muss größer 0 sein",IF(OR(Eingabe!G55&lt;&gt;"",ISNUMBER(Eingabe!H55),ISNUMBER(Eingabe!I55)),"OK - manueller Wert überschreibt Katalog","OK")))))))</f>
        <v/>
      </c>
    </row>
    <row r="17">
      <c r="A17" s="21">
        <f>IF($D17="","",Eingabe!A56)</f>
        <v/>
      </c>
      <c r="B17" s="13">
        <f>IF($D17="","",IF(Eingabe!B56="","",Eingabe!B56))</f>
        <v/>
      </c>
      <c r="C17" s="13">
        <f>IF($D17="","",IF(Eingabe!C56="","",Eingabe!C56))</f>
        <v/>
      </c>
      <c r="D17" s="13">
        <f>IF(Eingabe!D56="","",Eingabe!D56)</f>
        <v/>
      </c>
      <c r="E17" s="26">
        <f>IF($D17="","",IF(ISNUMBER(Eingabe!E56),Eingabe!E56,0))</f>
        <v/>
      </c>
      <c r="F17" s="21">
        <f>IF($D17="","",IF(Eingabe!G56&lt;&gt;"",Eingabe!G56,IFERROR(INDEX(Katalog_Einheit,MATCH($D17,Katalog_Leistung,0)),"?")))</f>
        <v/>
      </c>
      <c r="G17" s="27">
        <f>IF($D17="","",IF(ISNUMBER(Eingabe!H56),Eingabe!H56,IFERROR(INDEX(Katalog_Material,MATCH($D17,Katalog_Leistung,0)),0)*(1+IF(ISNUMBER(Eingabe!$D$39),Eingabe!$D$39,0))))</f>
        <v/>
      </c>
      <c r="H17" s="28">
        <f>IF($D17="","",IF(ISNUMBER(Eingabe!I56),Eingabe!I56,IFERROR(INDEX(Katalog_Zeit,MATCH($D17,Katalog_Leistung,0)),0)))</f>
        <v/>
      </c>
      <c r="I17" s="27">
        <f>IF($D17="","",ROUND($E17*$G17,2))</f>
        <v/>
      </c>
      <c r="J17" s="27">
        <f>IF($D17="","",ROUND($I17*IF(ISNUMBER(Eingabe!$D$32),Eingabe!$D$32,0),2))</f>
        <v/>
      </c>
      <c r="K17" s="28">
        <f>IF($D17="","",$E17*$H17)</f>
        <v/>
      </c>
      <c r="L17" s="27">
        <f>IF($D17="","",ROUND($K17*IF(ISNUMBER(Eingabe!$D$31),Eingabe!$D$31,0),2))</f>
        <v/>
      </c>
      <c r="M17" s="27">
        <f>IF($D17="","",$I17+$J17+$L17)</f>
        <v/>
      </c>
      <c r="N17" s="27">
        <f>IF($D17="","",ROUND($M17*IF(ISNUMBER(Eingabe!$D$33),Eingabe!$D$33,0),2))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IF($D17="","",IF(ISNA(MATCH($D17,Katalog_Leistung,0)),IF(OR(Eingabe!G56="",NOT(ISNUMBER(Eingabe!H56)),NOT(ISNUMBER(Eingabe!I56))),"! Freie Position: Einheit, Material und Zeit in Spalte G, H und I eintragen",IF(NOT(ISNUMBER(Eingabe!E56)),"!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Leistung",IF(NOT(ISNUMBER(Eingabe!E56)),"! Menge fehlt oder ist keine Zahl",IF($E17&lt;=0,"! Menge muss größer 0 sein",IF(OR(Eingabe!G56&lt;&gt;"",ISNUMBER(Eingabe!H56),ISNUMBER(Eingabe!I56)),"OK - manueller Wert überschreibt Katalog","OK")))))))</f>
        <v/>
      </c>
    </row>
    <row r="18">
      <c r="A18" s="21">
        <f>IF($D18="","",Eingabe!A57)</f>
        <v/>
      </c>
      <c r="B18" s="13">
        <f>IF($D18="","",IF(Eingabe!B57="","",Eingabe!B57))</f>
        <v/>
      </c>
      <c r="C18" s="13">
        <f>IF($D18="","",IF(Eingabe!C57="","",Eingabe!C57))</f>
        <v/>
      </c>
      <c r="D18" s="13">
        <f>IF(Eingabe!D57="","",Eingabe!D57)</f>
        <v/>
      </c>
      <c r="E18" s="26">
        <f>IF($D18="","",IF(ISNUMBER(Eingabe!E57),Eingabe!E57,0))</f>
        <v/>
      </c>
      <c r="F18" s="21">
        <f>IF($D18="","",IF(Eingabe!G57&lt;&gt;"",Eingabe!G57,IFERROR(INDEX(Katalog_Einheit,MATCH($D18,Katalog_Leistung,0)),"?")))</f>
        <v/>
      </c>
      <c r="G18" s="27">
        <f>IF($D18="","",IF(ISNUMBER(Eingabe!H57),Eingabe!H57,IFERROR(INDEX(Katalog_Material,MATCH($D18,Katalog_Leistung,0)),0)*(1+IF(ISNUMBER(Eingabe!$D$39),Eingabe!$D$39,0))))</f>
        <v/>
      </c>
      <c r="H18" s="28">
        <f>IF($D18="","",IF(ISNUMBER(Eingabe!I57),Eingabe!I57,IFERROR(INDEX(Katalog_Zeit,MATCH($D18,Katalog_Leistung,0)),0)))</f>
        <v/>
      </c>
      <c r="I18" s="27">
        <f>IF($D18="","",ROUND($E18*$G18,2))</f>
        <v/>
      </c>
      <c r="J18" s="27">
        <f>IF($D18="","",ROUND($I18*IF(ISNUMBER(Eingabe!$D$32),Eingabe!$D$32,0),2))</f>
        <v/>
      </c>
      <c r="K18" s="28">
        <f>IF($D18="","",$E18*$H18)</f>
        <v/>
      </c>
      <c r="L18" s="27">
        <f>IF($D18="","",ROUND($K18*IF(ISNUMBER(Eingabe!$D$31),Eingabe!$D$31,0),2))</f>
        <v/>
      </c>
      <c r="M18" s="27">
        <f>IF($D18="","",$I18+$J18+$L18)</f>
        <v/>
      </c>
      <c r="N18" s="27">
        <f>IF($D18="","",ROUND($M18*IF(ISNUMBER(Eingabe!$D$33),Eingabe!$D$33,0),2))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IF($D18="","",IF(ISNA(MATCH($D18,Katalog_Leistung,0)),IF(OR(Eingabe!G57="",NOT(ISNUMBER(Eingabe!H57)),NOT(ISNUMBER(Eingabe!I57))),"! Freie Position: Einheit, Material und Zeit in Spalte G, H und I eintragen",IF(NOT(ISNUMBER(Eingabe!E57)),"!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Leistung",IF(NOT(ISNUMBER(Eingabe!E57)),"! Menge fehlt oder ist keine Zahl",IF($E18&lt;=0,"! Menge muss größer 0 sein",IF(OR(Eingabe!G57&lt;&gt;"",ISNUMBER(Eingabe!H57),ISNUMBER(Eingabe!I57)),"OK - manueller Wert überschreibt Katalog","OK")))))))</f>
        <v/>
      </c>
    </row>
    <row r="19">
      <c r="A19" s="21">
        <f>IF($D19="","",Eingabe!A58)</f>
        <v/>
      </c>
      <c r="B19" s="13">
        <f>IF($D19="","",IF(Eingabe!B58="","",Eingabe!B58))</f>
        <v/>
      </c>
      <c r="C19" s="13">
        <f>IF($D19="","",IF(Eingabe!C58="","",Eingabe!C58))</f>
        <v/>
      </c>
      <c r="D19" s="13">
        <f>IF(Eingabe!D58="","",Eingabe!D58)</f>
        <v/>
      </c>
      <c r="E19" s="26">
        <f>IF($D19="","",IF(ISNUMBER(Eingabe!E58),Eingabe!E58,0))</f>
        <v/>
      </c>
      <c r="F19" s="21">
        <f>IF($D19="","",IF(Eingabe!G58&lt;&gt;"",Eingabe!G58,IFERROR(INDEX(Katalog_Einheit,MATCH($D19,Katalog_Leistung,0)),"?")))</f>
        <v/>
      </c>
      <c r="G19" s="27">
        <f>IF($D19="","",IF(ISNUMBER(Eingabe!H58),Eingabe!H58,IFERROR(INDEX(Katalog_Material,MATCH($D19,Katalog_Leistung,0)),0)*(1+IF(ISNUMBER(Eingabe!$D$39),Eingabe!$D$39,0))))</f>
        <v/>
      </c>
      <c r="H19" s="28">
        <f>IF($D19="","",IF(ISNUMBER(Eingabe!I58),Eingabe!I58,IFERROR(INDEX(Katalog_Zeit,MATCH($D19,Katalog_Leistung,0)),0)))</f>
        <v/>
      </c>
      <c r="I19" s="27">
        <f>IF($D19="","",ROUND($E19*$G19,2))</f>
        <v/>
      </c>
      <c r="J19" s="27">
        <f>IF($D19="","",ROUND($I19*IF(ISNUMBER(Eingabe!$D$32),Eingabe!$D$32,0),2))</f>
        <v/>
      </c>
      <c r="K19" s="28">
        <f>IF($D19="","",$E19*$H19)</f>
        <v/>
      </c>
      <c r="L19" s="27">
        <f>IF($D19="","",ROUND($K19*IF(ISNUMBER(Eingabe!$D$31),Eingabe!$D$31,0),2))</f>
        <v/>
      </c>
      <c r="M19" s="27">
        <f>IF($D19="","",$I19+$J19+$L19)</f>
        <v/>
      </c>
      <c r="N19" s="27">
        <f>IF($D19="","",ROUND($M19*IF(ISNUMBER(Eingabe!$D$33),Eingabe!$D$33,0),2))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IF($D19="","",IF(ISNA(MATCH($D19,Katalog_Leistung,0)),IF(OR(Eingabe!G58="",NOT(ISNUMBER(Eingabe!H58)),NOT(ISNUMBER(Eingabe!I58))),"! Freie Position: Einheit, Material und Zeit in Spalte G, H und I eintragen",IF(NOT(ISNUMBER(Eingabe!E58)),"!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Leistung",IF(NOT(ISNUMBER(Eingabe!E58)),"! Menge fehlt oder ist keine Zahl",IF($E19&lt;=0,"! Menge muss größer 0 sein",IF(OR(Eingabe!G58&lt;&gt;"",ISNUMBER(Eingabe!H58),ISNUMBER(Eingabe!I58)),"OK - manueller Wert überschreibt Katalog","OK")))))))</f>
        <v/>
      </c>
    </row>
    <row r="20">
      <c r="A20" s="21">
        <f>IF($D20="","",Eingabe!A59)</f>
        <v/>
      </c>
      <c r="B20" s="13">
        <f>IF($D20="","",IF(Eingabe!B59="","",Eingabe!B59))</f>
        <v/>
      </c>
      <c r="C20" s="13">
        <f>IF($D20="","",IF(Eingabe!C59="","",Eingabe!C59))</f>
        <v/>
      </c>
      <c r="D20" s="13">
        <f>IF(Eingabe!D59="","",Eingabe!D59)</f>
        <v/>
      </c>
      <c r="E20" s="26">
        <f>IF($D20="","",IF(ISNUMBER(Eingabe!E59),Eingabe!E59,0))</f>
        <v/>
      </c>
      <c r="F20" s="21">
        <f>IF($D20="","",IF(Eingabe!G59&lt;&gt;"",Eingabe!G59,IFERROR(INDEX(Katalog_Einheit,MATCH($D20,Katalog_Leistung,0)),"?")))</f>
        <v/>
      </c>
      <c r="G20" s="27">
        <f>IF($D20="","",IF(ISNUMBER(Eingabe!H59),Eingabe!H59,IFERROR(INDEX(Katalog_Material,MATCH($D20,Katalog_Leistung,0)),0)*(1+IF(ISNUMBER(Eingabe!$D$39),Eingabe!$D$39,0))))</f>
        <v/>
      </c>
      <c r="H20" s="28">
        <f>IF($D20="","",IF(ISNUMBER(Eingabe!I59),Eingabe!I59,IFERROR(INDEX(Katalog_Zeit,MATCH($D20,Katalog_Leistung,0)),0)))</f>
        <v/>
      </c>
      <c r="I20" s="27">
        <f>IF($D20="","",ROUND($E20*$G20,2))</f>
        <v/>
      </c>
      <c r="J20" s="27">
        <f>IF($D20="","",ROUND($I20*IF(ISNUMBER(Eingabe!$D$32),Eingabe!$D$32,0),2))</f>
        <v/>
      </c>
      <c r="K20" s="28">
        <f>IF($D20="","",$E20*$H20)</f>
        <v/>
      </c>
      <c r="L20" s="27">
        <f>IF($D20="","",ROUND($K20*IF(ISNUMBER(Eingabe!$D$31),Eingabe!$D$31,0),2))</f>
        <v/>
      </c>
      <c r="M20" s="27">
        <f>IF($D20="","",$I20+$J20+$L20)</f>
        <v/>
      </c>
      <c r="N20" s="27">
        <f>IF($D20="","",ROUND($M20*IF(ISNUMBER(Eingabe!$D$33),Eingabe!$D$33,0),2))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IF($D20="","",IF(ISNA(MATCH($D20,Katalog_Leistung,0)),IF(OR(Eingabe!G59="",NOT(ISNUMBER(Eingabe!H59)),NOT(ISNUMBER(Eingabe!I59))),"! Freie Position: Einheit, Material und Zeit in Spalte G, H und I eintragen",IF(NOT(ISNUMBER(Eingabe!E59)),"!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Leistung",IF(NOT(ISNUMBER(Eingabe!E59)),"! Menge fehlt oder ist keine Zahl",IF($E20&lt;=0,"! Menge muss größer 0 sein",IF(OR(Eingabe!G59&lt;&gt;"",ISNUMBER(Eingabe!H59),ISNUMBER(Eingabe!I59)),"OK - manueller Wert überschreibt Katalog","OK")))))))</f>
        <v/>
      </c>
    </row>
    <row r="21">
      <c r="A21" s="21">
        <f>IF($D21="","",Eingabe!A60)</f>
        <v/>
      </c>
      <c r="B21" s="13">
        <f>IF($D21="","",IF(Eingabe!B60="","",Eingabe!B60))</f>
        <v/>
      </c>
      <c r="C21" s="13">
        <f>IF($D21="","",IF(Eingabe!C60="","",Eingabe!C60))</f>
        <v/>
      </c>
      <c r="D21" s="13">
        <f>IF(Eingabe!D60="","",Eingabe!D60)</f>
        <v/>
      </c>
      <c r="E21" s="26">
        <f>IF($D21="","",IF(ISNUMBER(Eingabe!E60),Eingabe!E60,0))</f>
        <v/>
      </c>
      <c r="F21" s="21">
        <f>IF($D21="","",IF(Eingabe!G60&lt;&gt;"",Eingabe!G60,IFERROR(INDEX(Katalog_Einheit,MATCH($D21,Katalog_Leistung,0)),"?")))</f>
        <v/>
      </c>
      <c r="G21" s="27">
        <f>IF($D21="","",IF(ISNUMBER(Eingabe!H60),Eingabe!H60,IFERROR(INDEX(Katalog_Material,MATCH($D21,Katalog_Leistung,0)),0)*(1+IF(ISNUMBER(Eingabe!$D$39),Eingabe!$D$39,0))))</f>
        <v/>
      </c>
      <c r="H21" s="28">
        <f>IF($D21="","",IF(ISNUMBER(Eingabe!I60),Eingabe!I60,IFERROR(INDEX(Katalog_Zeit,MATCH($D21,Katalog_Leistung,0)),0)))</f>
        <v/>
      </c>
      <c r="I21" s="27">
        <f>IF($D21="","",ROUND($E21*$G21,2))</f>
        <v/>
      </c>
      <c r="J21" s="27">
        <f>IF($D21="","",ROUND($I21*IF(ISNUMBER(Eingabe!$D$32),Eingabe!$D$32,0),2))</f>
        <v/>
      </c>
      <c r="K21" s="28">
        <f>IF($D21="","",$E21*$H21)</f>
        <v/>
      </c>
      <c r="L21" s="27">
        <f>IF($D21="","",ROUND($K21*IF(ISNUMBER(Eingabe!$D$31),Eingabe!$D$31,0),2))</f>
        <v/>
      </c>
      <c r="M21" s="27">
        <f>IF($D21="","",$I21+$J21+$L21)</f>
        <v/>
      </c>
      <c r="N21" s="27">
        <f>IF($D21="","",ROUND($M21*IF(ISNUMBER(Eingabe!$D$33),Eingabe!$D$33,0),2))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IF($D21="","",IF(ISNA(MATCH($D21,Katalog_Leistung,0)),IF(OR(Eingabe!G60="",NOT(ISNUMBER(Eingabe!H60)),NOT(ISNUMBER(Eingabe!I60))),"! Freie Position: Einheit, Material und Zeit in Spalte G, H und I eintragen",IF(NOT(ISNUMBER(Eingabe!E60)),"!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Leistung",IF(NOT(ISNUMBER(Eingabe!E60)),"! Menge fehlt oder ist keine Zahl",IF($E21&lt;=0,"! Menge muss größer 0 sein",IF(OR(Eingabe!G60&lt;&gt;"",ISNUMBER(Eingabe!H60),ISNUMBER(Eingabe!I60)),"OK - manueller Wert überschreibt Katalog","OK")))))))</f>
        <v/>
      </c>
    </row>
    <row r="22">
      <c r="A22" s="21">
        <f>IF($D22="","",Eingabe!A61)</f>
        <v/>
      </c>
      <c r="B22" s="13">
        <f>IF($D22="","",IF(Eingabe!B61="","",Eingabe!B61))</f>
        <v/>
      </c>
      <c r="C22" s="13">
        <f>IF($D22="","",IF(Eingabe!C61="","",Eingabe!C61))</f>
        <v/>
      </c>
      <c r="D22" s="13">
        <f>IF(Eingabe!D61="","",Eingabe!D61)</f>
        <v/>
      </c>
      <c r="E22" s="26">
        <f>IF($D22="","",IF(ISNUMBER(Eingabe!E61),Eingabe!E61,0))</f>
        <v/>
      </c>
      <c r="F22" s="21">
        <f>IF($D22="","",IF(Eingabe!G61&lt;&gt;"",Eingabe!G61,IFERROR(INDEX(Katalog_Einheit,MATCH($D22,Katalog_Leistung,0)),"?")))</f>
        <v/>
      </c>
      <c r="G22" s="27">
        <f>IF($D22="","",IF(ISNUMBER(Eingabe!H61),Eingabe!H61,IFERROR(INDEX(Katalog_Material,MATCH($D22,Katalog_Leistung,0)),0)*(1+IF(ISNUMBER(Eingabe!$D$39),Eingabe!$D$39,0))))</f>
        <v/>
      </c>
      <c r="H22" s="28">
        <f>IF($D22="","",IF(ISNUMBER(Eingabe!I61),Eingabe!I61,IFERROR(INDEX(Katalog_Zeit,MATCH($D22,Katalog_Leistung,0)),0)))</f>
        <v/>
      </c>
      <c r="I22" s="27">
        <f>IF($D22="","",ROUND($E22*$G22,2))</f>
        <v/>
      </c>
      <c r="J22" s="27">
        <f>IF($D22="","",ROUND($I22*IF(ISNUMBER(Eingabe!$D$32),Eingabe!$D$32,0),2))</f>
        <v/>
      </c>
      <c r="K22" s="28">
        <f>IF($D22="","",$E22*$H22)</f>
        <v/>
      </c>
      <c r="L22" s="27">
        <f>IF($D22="","",ROUND($K22*IF(ISNUMBER(Eingabe!$D$31),Eingabe!$D$31,0),2))</f>
        <v/>
      </c>
      <c r="M22" s="27">
        <f>IF($D22="","",$I22+$J22+$L22)</f>
        <v/>
      </c>
      <c r="N22" s="27">
        <f>IF($D22="","",ROUND($M22*IF(ISNUMBER(Eingabe!$D$33),Eingabe!$D$33,0),2))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IF($D22="","",IF(ISNA(MATCH($D22,Katalog_Leistung,0)),IF(OR(Eingabe!G61="",NOT(ISNUMBER(Eingabe!H61)),NOT(ISNUMBER(Eingabe!I61))),"! Freie Position: Einheit, Material und Zeit in Spalte G, H und I eintragen",IF(NOT(ISNUMBER(Eingabe!E61)),"!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Leistung",IF(NOT(ISNUMBER(Eingabe!E61)),"! Menge fehlt oder ist keine Zahl",IF($E22&lt;=0,"! Menge muss größer 0 sein",IF(OR(Eingabe!G61&lt;&gt;"",ISNUMBER(Eingabe!H61),ISNUMBER(Eingabe!I61)),"OK - manueller Wert überschreibt Katalog","OK")))))))</f>
        <v/>
      </c>
    </row>
    <row r="23">
      <c r="A23" s="21">
        <f>IF($D23="","",Eingabe!A62)</f>
        <v/>
      </c>
      <c r="B23" s="13">
        <f>IF($D23="","",IF(Eingabe!B62="","",Eingabe!B62))</f>
        <v/>
      </c>
      <c r="C23" s="13">
        <f>IF($D23="","",IF(Eingabe!C62="","",Eingabe!C62))</f>
        <v/>
      </c>
      <c r="D23" s="13">
        <f>IF(Eingabe!D62="","",Eingabe!D62)</f>
        <v/>
      </c>
      <c r="E23" s="26">
        <f>IF($D23="","",IF(ISNUMBER(Eingabe!E62),Eingabe!E62,0))</f>
        <v/>
      </c>
      <c r="F23" s="21">
        <f>IF($D23="","",IF(Eingabe!G62&lt;&gt;"",Eingabe!G62,IFERROR(INDEX(Katalog_Einheit,MATCH($D23,Katalog_Leistung,0)),"?")))</f>
        <v/>
      </c>
      <c r="G23" s="27">
        <f>IF($D23="","",IF(ISNUMBER(Eingabe!H62),Eingabe!H62,IFERROR(INDEX(Katalog_Material,MATCH($D23,Katalog_Leistung,0)),0)*(1+IF(ISNUMBER(Eingabe!$D$39),Eingabe!$D$39,0))))</f>
        <v/>
      </c>
      <c r="H23" s="28">
        <f>IF($D23="","",IF(ISNUMBER(Eingabe!I62),Eingabe!I62,IFERROR(INDEX(Katalog_Zeit,MATCH($D23,Katalog_Leistung,0)),0)))</f>
        <v/>
      </c>
      <c r="I23" s="27">
        <f>IF($D23="","",ROUND($E23*$G23,2))</f>
        <v/>
      </c>
      <c r="J23" s="27">
        <f>IF($D23="","",ROUND($I23*IF(ISNUMBER(Eingabe!$D$32),Eingabe!$D$32,0),2))</f>
        <v/>
      </c>
      <c r="K23" s="28">
        <f>IF($D23="","",$E23*$H23)</f>
        <v/>
      </c>
      <c r="L23" s="27">
        <f>IF($D23="","",ROUND($K23*IF(ISNUMBER(Eingabe!$D$31),Eingabe!$D$31,0),2))</f>
        <v/>
      </c>
      <c r="M23" s="27">
        <f>IF($D23="","",$I23+$J23+$L23)</f>
        <v/>
      </c>
      <c r="N23" s="27">
        <f>IF($D23="","",ROUND($M23*IF(ISNUMBER(Eingabe!$D$33),Eingabe!$D$33,0),2))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IF($D23="","",IF(ISNA(MATCH($D23,Katalog_Leistung,0)),IF(OR(Eingabe!G62="",NOT(ISNUMBER(Eingabe!H62)),NOT(ISNUMBER(Eingabe!I62))),"! Freie Position: Einheit, Material und Zeit in Spalte G, H und I eintragen",IF(NOT(ISNUMBER(Eingabe!E62)),"!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Leistung",IF(NOT(ISNUMBER(Eingabe!E62)),"! Menge fehlt oder ist keine Zahl",IF($E23&lt;=0,"! Menge muss größer 0 sein",IF(OR(Eingabe!G62&lt;&gt;"",ISNUMBER(Eingabe!H62),ISNUMBER(Eingabe!I62)),"OK - manueller Wert überschreibt Katalog","OK")))))))</f>
        <v/>
      </c>
    </row>
    <row r="24">
      <c r="A24" s="21">
        <f>IF($D24="","",Eingabe!A63)</f>
        <v/>
      </c>
      <c r="B24" s="13">
        <f>IF($D24="","",IF(Eingabe!B63="","",Eingabe!B63))</f>
        <v/>
      </c>
      <c r="C24" s="13">
        <f>IF($D24="","",IF(Eingabe!C63="","",Eingabe!C63))</f>
        <v/>
      </c>
      <c r="D24" s="13">
        <f>IF(Eingabe!D63="","",Eingabe!D63)</f>
        <v/>
      </c>
      <c r="E24" s="26">
        <f>IF($D24="","",IF(ISNUMBER(Eingabe!E63),Eingabe!E63,0))</f>
        <v/>
      </c>
      <c r="F24" s="21">
        <f>IF($D24="","",IF(Eingabe!G63&lt;&gt;"",Eingabe!G63,IFERROR(INDEX(Katalog_Einheit,MATCH($D24,Katalog_Leistung,0)),"?")))</f>
        <v/>
      </c>
      <c r="G24" s="27">
        <f>IF($D24="","",IF(ISNUMBER(Eingabe!H63),Eingabe!H63,IFERROR(INDEX(Katalog_Material,MATCH($D24,Katalog_Leistung,0)),0)*(1+IF(ISNUMBER(Eingabe!$D$39),Eingabe!$D$39,0))))</f>
        <v/>
      </c>
      <c r="H24" s="28">
        <f>IF($D24="","",IF(ISNUMBER(Eingabe!I63),Eingabe!I63,IFERROR(INDEX(Katalog_Zeit,MATCH($D24,Katalog_Leistung,0)),0)))</f>
        <v/>
      </c>
      <c r="I24" s="27">
        <f>IF($D24="","",ROUND($E24*$G24,2))</f>
        <v/>
      </c>
      <c r="J24" s="27">
        <f>IF($D24="","",ROUND($I24*IF(ISNUMBER(Eingabe!$D$32),Eingabe!$D$32,0),2))</f>
        <v/>
      </c>
      <c r="K24" s="28">
        <f>IF($D24="","",$E24*$H24)</f>
        <v/>
      </c>
      <c r="L24" s="27">
        <f>IF($D24="","",ROUND($K24*IF(ISNUMBER(Eingabe!$D$31),Eingabe!$D$31,0),2))</f>
        <v/>
      </c>
      <c r="M24" s="27">
        <f>IF($D24="","",$I24+$J24+$L24)</f>
        <v/>
      </c>
      <c r="N24" s="27">
        <f>IF($D24="","",ROUND($M24*IF(ISNUMBER(Eingabe!$D$33),Eingabe!$D$33,0),2))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IF($D24="","",IF(ISNA(MATCH($D24,Katalog_Leistung,0)),IF(OR(Eingabe!G63="",NOT(ISNUMBER(Eingabe!H63)),NOT(ISNUMBER(Eingabe!I63))),"! Freie Position: Einheit, Material und Zeit in Spalte G, H und I eintragen",IF(NOT(ISNUMBER(Eingabe!E63)),"!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Leistung",IF(NOT(ISNUMBER(Eingabe!E63)),"! Menge fehlt oder ist keine Zahl",IF($E24&lt;=0,"! Menge muss größer 0 sein",IF(OR(Eingabe!G63&lt;&gt;"",ISNUMBER(Eingabe!H63),ISNUMBER(Eingabe!I63)),"OK - manueller Wert überschreibt Katalog","OK")))))))</f>
        <v/>
      </c>
    </row>
    <row r="25">
      <c r="A25" s="21">
        <f>IF($D25="","",Eingabe!A64)</f>
        <v/>
      </c>
      <c r="B25" s="13">
        <f>IF($D25="","",IF(Eingabe!B64="","",Eingabe!B64))</f>
        <v/>
      </c>
      <c r="C25" s="13">
        <f>IF($D25="","",IF(Eingabe!C64="","",Eingabe!C64))</f>
        <v/>
      </c>
      <c r="D25" s="13">
        <f>IF(Eingabe!D64="","",Eingabe!D64)</f>
        <v/>
      </c>
      <c r="E25" s="26">
        <f>IF($D25="","",IF(ISNUMBER(Eingabe!E64),Eingabe!E64,0))</f>
        <v/>
      </c>
      <c r="F25" s="21">
        <f>IF($D25="","",IF(Eingabe!G64&lt;&gt;"",Eingabe!G64,IFERROR(INDEX(Katalog_Einheit,MATCH($D25,Katalog_Leistung,0)),"?")))</f>
        <v/>
      </c>
      <c r="G25" s="27">
        <f>IF($D25="","",IF(ISNUMBER(Eingabe!H64),Eingabe!H64,IFERROR(INDEX(Katalog_Material,MATCH($D25,Katalog_Leistung,0)),0)*(1+IF(ISNUMBER(Eingabe!$D$39),Eingabe!$D$39,0))))</f>
        <v/>
      </c>
      <c r="H25" s="28">
        <f>IF($D25="","",IF(ISNUMBER(Eingabe!I64),Eingabe!I64,IFERROR(INDEX(Katalog_Zeit,MATCH($D25,Katalog_Leistung,0)),0)))</f>
        <v/>
      </c>
      <c r="I25" s="27">
        <f>IF($D25="","",ROUND($E25*$G25,2))</f>
        <v/>
      </c>
      <c r="J25" s="27">
        <f>IF($D25="","",ROUND($I25*IF(ISNUMBER(Eingabe!$D$32),Eingabe!$D$32,0),2))</f>
        <v/>
      </c>
      <c r="K25" s="28">
        <f>IF($D25="","",$E25*$H25)</f>
        <v/>
      </c>
      <c r="L25" s="27">
        <f>IF($D25="","",ROUND($K25*IF(ISNUMBER(Eingabe!$D$31),Eingabe!$D$31,0),2))</f>
        <v/>
      </c>
      <c r="M25" s="27">
        <f>IF($D25="","",$I25+$J25+$L25)</f>
        <v/>
      </c>
      <c r="N25" s="27">
        <f>IF($D25="","",ROUND($M25*IF(ISNUMBER(Eingabe!$D$33),Eingabe!$D$33,0),2))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IF($D25="","",IF(ISNA(MATCH($D25,Katalog_Leistung,0)),IF(OR(Eingabe!G64="",NOT(ISNUMBER(Eingabe!H64)),NOT(ISNUMBER(Eingabe!I64))),"! Freie Position: Einheit, Material und Zeit in Spalte G, H und I eintragen",IF(NOT(ISNUMBER(Eingabe!E64)),"!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Leistung",IF(NOT(ISNUMBER(Eingabe!E64)),"! Menge fehlt oder ist keine Zahl",IF($E25&lt;=0,"! Menge muss größer 0 sein",IF(OR(Eingabe!G64&lt;&gt;"",ISNUMBER(Eingabe!H64),ISNUMBER(Eingabe!I64)),"OK - manueller Wert überschreibt Katalog","OK")))))))</f>
        <v/>
      </c>
    </row>
    <row r="26">
      <c r="A26" s="21">
        <f>IF($D26="","",Eingabe!A65)</f>
        <v/>
      </c>
      <c r="B26" s="13">
        <f>IF($D26="","",IF(Eingabe!B65="","",Eingabe!B65))</f>
        <v/>
      </c>
      <c r="C26" s="13">
        <f>IF($D26="","",IF(Eingabe!C65="","",Eingabe!C65))</f>
        <v/>
      </c>
      <c r="D26" s="13">
        <f>IF(Eingabe!D65="","",Eingabe!D65)</f>
        <v/>
      </c>
      <c r="E26" s="26">
        <f>IF($D26="","",IF(ISNUMBER(Eingabe!E65),Eingabe!E65,0))</f>
        <v/>
      </c>
      <c r="F26" s="21">
        <f>IF($D26="","",IF(Eingabe!G65&lt;&gt;"",Eingabe!G65,IFERROR(INDEX(Katalog_Einheit,MATCH($D26,Katalog_Leistung,0)),"?")))</f>
        <v/>
      </c>
      <c r="G26" s="27">
        <f>IF($D26="","",IF(ISNUMBER(Eingabe!H65),Eingabe!H65,IFERROR(INDEX(Katalog_Material,MATCH($D26,Katalog_Leistung,0)),0)*(1+IF(ISNUMBER(Eingabe!$D$39),Eingabe!$D$39,0))))</f>
        <v/>
      </c>
      <c r="H26" s="28">
        <f>IF($D26="","",IF(ISNUMBER(Eingabe!I65),Eingabe!I65,IFERROR(INDEX(Katalog_Zeit,MATCH($D26,Katalog_Leistung,0)),0)))</f>
        <v/>
      </c>
      <c r="I26" s="27">
        <f>IF($D26="","",ROUND($E26*$G26,2))</f>
        <v/>
      </c>
      <c r="J26" s="27">
        <f>IF($D26="","",ROUND($I26*IF(ISNUMBER(Eingabe!$D$32),Eingabe!$D$32,0),2))</f>
        <v/>
      </c>
      <c r="K26" s="28">
        <f>IF($D26="","",$E26*$H26)</f>
        <v/>
      </c>
      <c r="L26" s="27">
        <f>IF($D26="","",ROUND($K26*IF(ISNUMBER(Eingabe!$D$31),Eingabe!$D$31,0),2))</f>
        <v/>
      </c>
      <c r="M26" s="27">
        <f>IF($D26="","",$I26+$J26+$L26)</f>
        <v/>
      </c>
      <c r="N26" s="27">
        <f>IF($D26="","",ROUND($M26*IF(ISNUMBER(Eingabe!$D$33),Eingabe!$D$33,0),2))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IF($D26="","",IF(ISNA(MATCH($D26,Katalog_Leistung,0)),IF(OR(Eingabe!G65="",NOT(ISNUMBER(Eingabe!H65)),NOT(ISNUMBER(Eingabe!I65))),"! Freie Position: Einheit, Material und Zeit in Spalte G, H und I eintragen",IF(NOT(ISNUMBER(Eingabe!E65)),"!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Leistung",IF(NOT(ISNUMBER(Eingabe!E65)),"! Menge fehlt oder ist keine Zahl",IF($E26&lt;=0,"! Menge muss größer 0 sein",IF(OR(Eingabe!G65&lt;&gt;"",ISNUMBER(Eingabe!H65),ISNUMBER(Eingabe!I65)),"OK - manueller Wert überschreibt Katalog","OK")))))))</f>
        <v/>
      </c>
    </row>
    <row r="27">
      <c r="A27" s="21">
        <f>IF($D27="","",Eingabe!A66)</f>
        <v/>
      </c>
      <c r="B27" s="13">
        <f>IF($D27="","",IF(Eingabe!B66="","",Eingabe!B66))</f>
        <v/>
      </c>
      <c r="C27" s="13">
        <f>IF($D27="","",IF(Eingabe!C66="","",Eingabe!C66))</f>
        <v/>
      </c>
      <c r="D27" s="13">
        <f>IF(Eingabe!D66="","",Eingabe!D66)</f>
        <v/>
      </c>
      <c r="E27" s="26">
        <f>IF($D27="","",IF(ISNUMBER(Eingabe!E66),Eingabe!E66,0))</f>
        <v/>
      </c>
      <c r="F27" s="21">
        <f>IF($D27="","",IF(Eingabe!G66&lt;&gt;"",Eingabe!G66,IFERROR(INDEX(Katalog_Einheit,MATCH($D27,Katalog_Leistung,0)),"?")))</f>
        <v/>
      </c>
      <c r="G27" s="27">
        <f>IF($D27="","",IF(ISNUMBER(Eingabe!H66),Eingabe!H66,IFERROR(INDEX(Katalog_Material,MATCH($D27,Katalog_Leistung,0)),0)*(1+IF(ISNUMBER(Eingabe!$D$39),Eingabe!$D$39,0))))</f>
        <v/>
      </c>
      <c r="H27" s="28">
        <f>IF($D27="","",IF(ISNUMBER(Eingabe!I66),Eingabe!I66,IFERROR(INDEX(Katalog_Zeit,MATCH($D27,Katalog_Leistung,0)),0)))</f>
        <v/>
      </c>
      <c r="I27" s="27">
        <f>IF($D27="","",ROUND($E27*$G27,2))</f>
        <v/>
      </c>
      <c r="J27" s="27">
        <f>IF($D27="","",ROUND($I27*IF(ISNUMBER(Eingabe!$D$32),Eingabe!$D$32,0),2))</f>
        <v/>
      </c>
      <c r="K27" s="28">
        <f>IF($D27="","",$E27*$H27)</f>
        <v/>
      </c>
      <c r="L27" s="27">
        <f>IF($D27="","",ROUND($K27*IF(ISNUMBER(Eingabe!$D$31),Eingabe!$D$31,0),2))</f>
        <v/>
      </c>
      <c r="M27" s="27">
        <f>IF($D27="","",$I27+$J27+$L27)</f>
        <v/>
      </c>
      <c r="N27" s="27">
        <f>IF($D27="","",ROUND($M27*IF(ISNUMBER(Eingabe!$D$33),Eingabe!$D$33,0),2))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IF($D27="","",IF(ISNA(MATCH($D27,Katalog_Leistung,0)),IF(OR(Eingabe!G66="",NOT(ISNUMBER(Eingabe!H66)),NOT(ISNUMBER(Eingabe!I66))),"! Freie Position: Einheit, Material und Zeit in Spalte G, H und I eintragen",IF(NOT(ISNUMBER(Eingabe!E66)),"!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Leistung",IF(NOT(ISNUMBER(Eingabe!E66)),"! Menge fehlt oder ist keine Zahl",IF($E27&lt;=0,"! Menge muss größer 0 sein",IF(OR(Eingabe!G66&lt;&gt;"",ISNUMBER(Eingabe!H66),ISNUMBER(Eingabe!I66)),"OK - manueller Wert überschreibt Katalog","OK")))))))</f>
        <v/>
      </c>
    </row>
    <row r="28">
      <c r="A28" s="21">
        <f>IF($D28="","",Eingabe!A67)</f>
        <v/>
      </c>
      <c r="B28" s="13">
        <f>IF($D28="","",IF(Eingabe!B67="","",Eingabe!B67))</f>
        <v/>
      </c>
      <c r="C28" s="13">
        <f>IF($D28="","",IF(Eingabe!C67="","",Eingabe!C67))</f>
        <v/>
      </c>
      <c r="D28" s="13">
        <f>IF(Eingabe!D67="","",Eingabe!D67)</f>
        <v/>
      </c>
      <c r="E28" s="26">
        <f>IF($D28="","",IF(ISNUMBER(Eingabe!E67),Eingabe!E67,0))</f>
        <v/>
      </c>
      <c r="F28" s="21">
        <f>IF($D28="","",IF(Eingabe!G67&lt;&gt;"",Eingabe!G67,IFERROR(INDEX(Katalog_Einheit,MATCH($D28,Katalog_Leistung,0)),"?")))</f>
        <v/>
      </c>
      <c r="G28" s="27">
        <f>IF($D28="","",IF(ISNUMBER(Eingabe!H67),Eingabe!H67,IFERROR(INDEX(Katalog_Material,MATCH($D28,Katalog_Leistung,0)),0)*(1+IF(ISNUMBER(Eingabe!$D$39),Eingabe!$D$39,0))))</f>
        <v/>
      </c>
      <c r="H28" s="28">
        <f>IF($D28="","",IF(ISNUMBER(Eingabe!I67),Eingabe!I67,IFERROR(INDEX(Katalog_Zeit,MATCH($D28,Katalog_Leistung,0)),0)))</f>
        <v/>
      </c>
      <c r="I28" s="27">
        <f>IF($D28="","",ROUND($E28*$G28,2))</f>
        <v/>
      </c>
      <c r="J28" s="27">
        <f>IF($D28="","",ROUND($I28*IF(ISNUMBER(Eingabe!$D$32),Eingabe!$D$32,0),2))</f>
        <v/>
      </c>
      <c r="K28" s="28">
        <f>IF($D28="","",$E28*$H28)</f>
        <v/>
      </c>
      <c r="L28" s="27">
        <f>IF($D28="","",ROUND($K28*IF(ISNUMBER(Eingabe!$D$31),Eingabe!$D$31,0),2))</f>
        <v/>
      </c>
      <c r="M28" s="27">
        <f>IF($D28="","",$I28+$J28+$L28)</f>
        <v/>
      </c>
      <c r="N28" s="27">
        <f>IF($D28="","",ROUND($M28*IF(ISNUMBER(Eingabe!$D$33),Eingabe!$D$33,0),2))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IF($D28="","",IF(ISNA(MATCH($D28,Katalog_Leistung,0)),IF(OR(Eingabe!G67="",NOT(ISNUMBER(Eingabe!H67)),NOT(ISNUMBER(Eingabe!I67))),"! Freie Position: Einheit, Material und Zeit in Spalte G, H und I eintragen",IF(NOT(ISNUMBER(Eingabe!E67)),"!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Leistung",IF(NOT(ISNUMBER(Eingabe!E67)),"! Menge fehlt oder ist keine Zahl",IF($E28&lt;=0,"! Menge muss größer 0 sein",IF(OR(Eingabe!G67&lt;&gt;"",ISNUMBER(Eingabe!H67),ISNUMBER(Eingabe!I67)),"OK - manueller Wert überschreibt Katalog","OK")))))))</f>
        <v/>
      </c>
    </row>
    <row r="29">
      <c r="A29" s="21">
        <f>IF($D29="","",Eingabe!A68)</f>
        <v/>
      </c>
      <c r="B29" s="13">
        <f>IF($D29="","",IF(Eingabe!B68="","",Eingabe!B68))</f>
        <v/>
      </c>
      <c r="C29" s="13">
        <f>IF($D29="","",IF(Eingabe!C68="","",Eingabe!C68))</f>
        <v/>
      </c>
      <c r="D29" s="13">
        <f>IF(Eingabe!D68="","",Eingabe!D68)</f>
        <v/>
      </c>
      <c r="E29" s="26">
        <f>IF($D29="","",IF(ISNUMBER(Eingabe!E68),Eingabe!E68,0))</f>
        <v/>
      </c>
      <c r="F29" s="21">
        <f>IF($D29="","",IF(Eingabe!G68&lt;&gt;"",Eingabe!G68,IFERROR(INDEX(Katalog_Einheit,MATCH($D29,Katalog_Leistung,0)),"?")))</f>
        <v/>
      </c>
      <c r="G29" s="27">
        <f>IF($D29="","",IF(ISNUMBER(Eingabe!H68),Eingabe!H68,IFERROR(INDEX(Katalog_Material,MATCH($D29,Katalog_Leistung,0)),0)*(1+IF(ISNUMBER(Eingabe!$D$39),Eingabe!$D$39,0))))</f>
        <v/>
      </c>
      <c r="H29" s="28">
        <f>IF($D29="","",IF(ISNUMBER(Eingabe!I68),Eingabe!I68,IFERROR(INDEX(Katalog_Zeit,MATCH($D29,Katalog_Leistung,0)),0)))</f>
        <v/>
      </c>
      <c r="I29" s="27">
        <f>IF($D29="","",ROUND($E29*$G29,2))</f>
        <v/>
      </c>
      <c r="J29" s="27">
        <f>IF($D29="","",ROUND($I29*IF(ISNUMBER(Eingabe!$D$32),Eingabe!$D$32,0),2))</f>
        <v/>
      </c>
      <c r="K29" s="28">
        <f>IF($D29="","",$E29*$H29)</f>
        <v/>
      </c>
      <c r="L29" s="27">
        <f>IF($D29="","",ROUND($K29*IF(ISNUMBER(Eingabe!$D$31),Eingabe!$D$31,0),2))</f>
        <v/>
      </c>
      <c r="M29" s="27">
        <f>IF($D29="","",$I29+$J29+$L29)</f>
        <v/>
      </c>
      <c r="N29" s="27">
        <f>IF($D29="","",ROUND($M29*IF(ISNUMBER(Eingabe!$D$33),Eingabe!$D$33,0),2))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IF($D29="","",IF(ISNA(MATCH($D29,Katalog_Leistung,0)),IF(OR(Eingabe!G68="",NOT(ISNUMBER(Eingabe!H68)),NOT(ISNUMBER(Eingabe!I68))),"! Freie Position: Einheit, Material und Zeit in Spalte G, H und I eintragen",IF(NOT(ISNUMBER(Eingabe!E68)),"!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Leistung",IF(NOT(ISNUMBER(Eingabe!E68)),"! Menge fehlt oder ist keine Zahl",IF($E29&lt;=0,"! Menge muss größer 0 sein",IF(OR(Eingabe!G68&lt;&gt;"",ISNUMBER(Eingabe!H68),ISNUMBER(Eingabe!I68)),"OK - manueller Wert überschreibt Katalog","OK")))))))</f>
        <v/>
      </c>
    </row>
    <row r="30">
      <c r="A30" s="21">
        <f>IF($D30="","",Eingabe!A69)</f>
        <v/>
      </c>
      <c r="B30" s="13">
        <f>IF($D30="","",IF(Eingabe!B69="","",Eingabe!B69))</f>
        <v/>
      </c>
      <c r="C30" s="13">
        <f>IF($D30="","",IF(Eingabe!C69="","",Eingabe!C69))</f>
        <v/>
      </c>
      <c r="D30" s="13">
        <f>IF(Eingabe!D69="","",Eingabe!D69)</f>
        <v/>
      </c>
      <c r="E30" s="26">
        <f>IF($D30="","",IF(ISNUMBER(Eingabe!E69),Eingabe!E69,0))</f>
        <v/>
      </c>
      <c r="F30" s="21">
        <f>IF($D30="","",IF(Eingabe!G69&lt;&gt;"",Eingabe!G69,IFERROR(INDEX(Katalog_Einheit,MATCH($D30,Katalog_Leistung,0)),"?")))</f>
        <v/>
      </c>
      <c r="G30" s="27">
        <f>IF($D30="","",IF(ISNUMBER(Eingabe!H69),Eingabe!H69,IFERROR(INDEX(Katalog_Material,MATCH($D30,Katalog_Leistung,0)),0)*(1+IF(ISNUMBER(Eingabe!$D$39),Eingabe!$D$39,0))))</f>
        <v/>
      </c>
      <c r="H30" s="28">
        <f>IF($D30="","",IF(ISNUMBER(Eingabe!I69),Eingabe!I69,IFERROR(INDEX(Katalog_Zeit,MATCH($D30,Katalog_Leistung,0)),0)))</f>
        <v/>
      </c>
      <c r="I30" s="27">
        <f>IF($D30="","",ROUND($E30*$G30,2))</f>
        <v/>
      </c>
      <c r="J30" s="27">
        <f>IF($D30="","",ROUND($I30*IF(ISNUMBER(Eingabe!$D$32),Eingabe!$D$32,0),2))</f>
        <v/>
      </c>
      <c r="K30" s="28">
        <f>IF($D30="","",$E30*$H30)</f>
        <v/>
      </c>
      <c r="L30" s="27">
        <f>IF($D30="","",ROUND($K30*IF(ISNUMBER(Eingabe!$D$31),Eingabe!$D$31,0),2))</f>
        <v/>
      </c>
      <c r="M30" s="27">
        <f>IF($D30="","",$I30+$J30+$L30)</f>
        <v/>
      </c>
      <c r="N30" s="27">
        <f>IF($D30="","",ROUND($M30*IF(ISNUMBER(Eingabe!$D$33),Eingabe!$D$33,0),2))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IF($D30="","",IF(ISNA(MATCH($D30,Katalog_Leistung,0)),IF(OR(Eingabe!G69="",NOT(ISNUMBER(Eingabe!H69)),NOT(ISNUMBER(Eingabe!I69))),"! Freie Position: Einheit, Material und Zeit in Spalte G, H und I eintragen",IF(NOT(ISNUMBER(Eingabe!E69)),"!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Leistung",IF(NOT(ISNUMBER(Eingabe!E69)),"! Menge fehlt oder ist keine Zahl",IF($E30&lt;=0,"! Menge muss größer 0 sein",IF(OR(Eingabe!G69&lt;&gt;"",ISNUMBER(Eingabe!H69),ISNUMBER(Eingabe!I69)),"OK - manueller Wert überschreibt Katalog","OK")))))))</f>
        <v/>
      </c>
    </row>
    <row r="31">
      <c r="A31" s="21">
        <f>IF($D31="","",Eingabe!A70)</f>
        <v/>
      </c>
      <c r="B31" s="13">
        <f>IF($D31="","",IF(Eingabe!B70="","",Eingabe!B70))</f>
        <v/>
      </c>
      <c r="C31" s="13">
        <f>IF($D31="","",IF(Eingabe!C70="","",Eingabe!C70))</f>
        <v/>
      </c>
      <c r="D31" s="13">
        <f>IF(Eingabe!D70="","",Eingabe!D70)</f>
        <v/>
      </c>
      <c r="E31" s="26">
        <f>IF($D31="","",IF(ISNUMBER(Eingabe!E70),Eingabe!E70,0))</f>
        <v/>
      </c>
      <c r="F31" s="21">
        <f>IF($D31="","",IF(Eingabe!G70&lt;&gt;"",Eingabe!G70,IFERROR(INDEX(Katalog_Einheit,MATCH($D31,Katalog_Leistung,0)),"?")))</f>
        <v/>
      </c>
      <c r="G31" s="27">
        <f>IF($D31="","",IF(ISNUMBER(Eingabe!H70),Eingabe!H70,IFERROR(INDEX(Katalog_Material,MATCH($D31,Katalog_Leistung,0)),0)*(1+IF(ISNUMBER(Eingabe!$D$39),Eingabe!$D$39,0))))</f>
        <v/>
      </c>
      <c r="H31" s="28">
        <f>IF($D31="","",IF(ISNUMBER(Eingabe!I70),Eingabe!I70,IFERROR(INDEX(Katalog_Zeit,MATCH($D31,Katalog_Leistung,0)),0)))</f>
        <v/>
      </c>
      <c r="I31" s="27">
        <f>IF($D31="","",ROUND($E31*$G31,2))</f>
        <v/>
      </c>
      <c r="J31" s="27">
        <f>IF($D31="","",ROUND($I31*IF(ISNUMBER(Eingabe!$D$32),Eingabe!$D$32,0),2))</f>
        <v/>
      </c>
      <c r="K31" s="28">
        <f>IF($D31="","",$E31*$H31)</f>
        <v/>
      </c>
      <c r="L31" s="27">
        <f>IF($D31="","",ROUND($K31*IF(ISNUMBER(Eingabe!$D$31),Eingabe!$D$31,0),2))</f>
        <v/>
      </c>
      <c r="M31" s="27">
        <f>IF($D31="","",$I31+$J31+$L31)</f>
        <v/>
      </c>
      <c r="N31" s="27">
        <f>IF($D31="","",ROUND($M31*IF(ISNUMBER(Eingabe!$D$33),Eingabe!$D$33,0),2))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IF($D31="","",IF(ISNA(MATCH($D31,Katalog_Leistung,0)),IF(OR(Eingabe!G70="",NOT(ISNUMBER(Eingabe!H70)),NOT(ISNUMBER(Eingabe!I70))),"! Freie Position: Einheit, Material und Zeit in Spalte G, H und I eintragen",IF(NOT(ISNUMBER(Eingabe!E70)),"!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Leistung",IF(NOT(ISNUMBER(Eingabe!E70)),"! Menge fehlt oder ist keine Zahl",IF($E31&lt;=0,"! Menge muss größer 0 sein",IF(OR(Eingabe!G70&lt;&gt;"",ISNUMBER(Eingabe!H70),ISNUMBER(Eingabe!I70)),"OK - manueller Wert überschreibt Katalog","OK")))))))</f>
        <v/>
      </c>
    </row>
    <row r="32">
      <c r="A32" s="21">
        <f>IF($D32="","",Eingabe!A71)</f>
        <v/>
      </c>
      <c r="B32" s="13">
        <f>IF($D32="","",IF(Eingabe!B71="","",Eingabe!B71))</f>
        <v/>
      </c>
      <c r="C32" s="13">
        <f>IF($D32="","",IF(Eingabe!C71="","",Eingabe!C71))</f>
        <v/>
      </c>
      <c r="D32" s="13">
        <f>IF(Eingabe!D71="","",Eingabe!D71)</f>
        <v/>
      </c>
      <c r="E32" s="26">
        <f>IF($D32="","",IF(ISNUMBER(Eingabe!E71),Eingabe!E71,0))</f>
        <v/>
      </c>
      <c r="F32" s="21">
        <f>IF($D32="","",IF(Eingabe!G71&lt;&gt;"",Eingabe!G71,IFERROR(INDEX(Katalog_Einheit,MATCH($D32,Katalog_Leistung,0)),"?")))</f>
        <v/>
      </c>
      <c r="G32" s="27">
        <f>IF($D32="","",IF(ISNUMBER(Eingabe!H71),Eingabe!H71,IFERROR(INDEX(Katalog_Material,MATCH($D32,Katalog_Leistung,0)),0)*(1+IF(ISNUMBER(Eingabe!$D$39),Eingabe!$D$39,0))))</f>
        <v/>
      </c>
      <c r="H32" s="28">
        <f>IF($D32="","",IF(ISNUMBER(Eingabe!I71),Eingabe!I71,IFERROR(INDEX(Katalog_Zeit,MATCH($D32,Katalog_Leistung,0)),0)))</f>
        <v/>
      </c>
      <c r="I32" s="27">
        <f>IF($D32="","",ROUND($E32*$G32,2))</f>
        <v/>
      </c>
      <c r="J32" s="27">
        <f>IF($D32="","",ROUND($I32*IF(ISNUMBER(Eingabe!$D$32),Eingabe!$D$32,0),2))</f>
        <v/>
      </c>
      <c r="K32" s="28">
        <f>IF($D32="","",$E32*$H32)</f>
        <v/>
      </c>
      <c r="L32" s="27">
        <f>IF($D32="","",ROUND($K32*IF(ISNUMBER(Eingabe!$D$31),Eingabe!$D$31,0),2))</f>
        <v/>
      </c>
      <c r="M32" s="27">
        <f>IF($D32="","",$I32+$J32+$L32)</f>
        <v/>
      </c>
      <c r="N32" s="27">
        <f>IF($D32="","",ROUND($M32*IF(ISNUMBER(Eingabe!$D$33),Eingabe!$D$33,0),2))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IF($D32="","",IF(ISNA(MATCH($D32,Katalog_Leistung,0)),IF(OR(Eingabe!G71="",NOT(ISNUMBER(Eingabe!H71)),NOT(ISNUMBER(Eingabe!I71))),"! Freie Position: Einheit, Material und Zeit in Spalte G, H und I eintragen",IF(NOT(ISNUMBER(Eingabe!E71)),"!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Leistung",IF(NOT(ISNUMBER(Eingabe!E71)),"! Menge fehlt oder ist keine Zahl",IF($E32&lt;=0,"! Menge muss größer 0 sein",IF(OR(Eingabe!G71&lt;&gt;"",ISNUMBER(Eingabe!H71),ISNUMBER(Eingabe!I71)),"OK - manueller Wert überschreibt Katalog","OK")))))))</f>
        <v/>
      </c>
    </row>
    <row r="33">
      <c r="A33" s="21">
        <f>IF($D33="","",Eingabe!A72)</f>
        <v/>
      </c>
      <c r="B33" s="13">
        <f>IF($D33="","",IF(Eingabe!B72="","",Eingabe!B72))</f>
        <v/>
      </c>
      <c r="C33" s="13">
        <f>IF($D33="","",IF(Eingabe!C72="","",Eingabe!C72))</f>
        <v/>
      </c>
      <c r="D33" s="13">
        <f>IF(Eingabe!D72="","",Eingabe!D72)</f>
        <v/>
      </c>
      <c r="E33" s="26">
        <f>IF($D33="","",IF(ISNUMBER(Eingabe!E72),Eingabe!E72,0))</f>
        <v/>
      </c>
      <c r="F33" s="21">
        <f>IF($D33="","",IF(Eingabe!G72&lt;&gt;"",Eingabe!G72,IFERROR(INDEX(Katalog_Einheit,MATCH($D33,Katalog_Leistung,0)),"?")))</f>
        <v/>
      </c>
      <c r="G33" s="27">
        <f>IF($D33="","",IF(ISNUMBER(Eingabe!H72),Eingabe!H72,IFERROR(INDEX(Katalog_Material,MATCH($D33,Katalog_Leistung,0)),0)*(1+IF(ISNUMBER(Eingabe!$D$39),Eingabe!$D$39,0))))</f>
        <v/>
      </c>
      <c r="H33" s="28">
        <f>IF($D33="","",IF(ISNUMBER(Eingabe!I72),Eingabe!I72,IFERROR(INDEX(Katalog_Zeit,MATCH($D33,Katalog_Leistung,0)),0)))</f>
        <v/>
      </c>
      <c r="I33" s="27">
        <f>IF($D33="","",ROUND($E33*$G33,2))</f>
        <v/>
      </c>
      <c r="J33" s="27">
        <f>IF($D33="","",ROUND($I33*IF(ISNUMBER(Eingabe!$D$32),Eingabe!$D$32,0),2))</f>
        <v/>
      </c>
      <c r="K33" s="28">
        <f>IF($D33="","",$E33*$H33)</f>
        <v/>
      </c>
      <c r="L33" s="27">
        <f>IF($D33="","",ROUND($K33*IF(ISNUMBER(Eingabe!$D$31),Eingabe!$D$31,0),2))</f>
        <v/>
      </c>
      <c r="M33" s="27">
        <f>IF($D33="","",$I33+$J33+$L33)</f>
        <v/>
      </c>
      <c r="N33" s="27">
        <f>IF($D33="","",ROUND($M33*IF(ISNUMBER(Eingabe!$D$33),Eingabe!$D$33,0),2))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IF($D33="","",IF(ISNA(MATCH($D33,Katalog_Leistung,0)),IF(OR(Eingabe!G72="",NOT(ISNUMBER(Eingabe!H72)),NOT(ISNUMBER(Eingabe!I72))),"! Freie Position: Einheit, Material und Zeit in Spalte G, H und I eintragen",IF(NOT(ISNUMBER(Eingabe!E72)),"!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Leistung",IF(NOT(ISNUMBER(Eingabe!E72)),"! Menge fehlt oder ist keine Zahl",IF($E33&lt;=0,"! Menge muss größer 0 sein",IF(OR(Eingabe!G72&lt;&gt;"",ISNUMBER(Eingabe!H72),ISNUMBER(Eingabe!I72)),"OK - manueller Wert überschreibt Katalog","OK")))))))</f>
        <v/>
      </c>
    </row>
    <row r="34">
      <c r="A34" s="21">
        <f>IF($D34="","",Eingabe!A73)</f>
        <v/>
      </c>
      <c r="B34" s="13">
        <f>IF($D34="","",IF(Eingabe!B73="","",Eingabe!B73))</f>
        <v/>
      </c>
      <c r="C34" s="13">
        <f>IF($D34="","",IF(Eingabe!C73="","",Eingabe!C73))</f>
        <v/>
      </c>
      <c r="D34" s="13">
        <f>IF(Eingabe!D73="","",Eingabe!D73)</f>
        <v/>
      </c>
      <c r="E34" s="26">
        <f>IF($D34="","",IF(ISNUMBER(Eingabe!E73),Eingabe!E73,0))</f>
        <v/>
      </c>
      <c r="F34" s="21">
        <f>IF($D34="","",IF(Eingabe!G73&lt;&gt;"",Eingabe!G73,IFERROR(INDEX(Katalog_Einheit,MATCH($D34,Katalog_Leistung,0)),"?")))</f>
        <v/>
      </c>
      <c r="G34" s="27">
        <f>IF($D34="","",IF(ISNUMBER(Eingabe!H73),Eingabe!H73,IFERROR(INDEX(Katalog_Material,MATCH($D34,Katalog_Leistung,0)),0)*(1+IF(ISNUMBER(Eingabe!$D$39),Eingabe!$D$39,0))))</f>
        <v/>
      </c>
      <c r="H34" s="28">
        <f>IF($D34="","",IF(ISNUMBER(Eingabe!I73),Eingabe!I73,IFERROR(INDEX(Katalog_Zeit,MATCH($D34,Katalog_Leistung,0)),0)))</f>
        <v/>
      </c>
      <c r="I34" s="27">
        <f>IF($D34="","",ROUND($E34*$G34,2))</f>
        <v/>
      </c>
      <c r="J34" s="27">
        <f>IF($D34="","",ROUND($I34*IF(ISNUMBER(Eingabe!$D$32),Eingabe!$D$32,0),2))</f>
        <v/>
      </c>
      <c r="K34" s="28">
        <f>IF($D34="","",$E34*$H34)</f>
        <v/>
      </c>
      <c r="L34" s="27">
        <f>IF($D34="","",ROUND($K34*IF(ISNUMBER(Eingabe!$D$31),Eingabe!$D$31,0),2))</f>
        <v/>
      </c>
      <c r="M34" s="27">
        <f>IF($D34="","",$I34+$J34+$L34)</f>
        <v/>
      </c>
      <c r="N34" s="27">
        <f>IF($D34="","",ROUND($M34*IF(ISNUMBER(Eingabe!$D$33),Eingabe!$D$33,0),2))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IF($D34="","",IF(ISNA(MATCH($D34,Katalog_Leistung,0)),IF(OR(Eingabe!G73="",NOT(ISNUMBER(Eingabe!H73)),NOT(ISNUMBER(Eingabe!I73))),"! Freie Position: Einheit, Material und Zeit in Spalte G, H und I eintragen",IF(NOT(ISNUMBER(Eingabe!E73)),"!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Leistung",IF(NOT(ISNUMBER(Eingabe!E73)),"! Menge fehlt oder ist keine Zahl",IF($E34&lt;=0,"! Menge muss größer 0 sein",IF(OR(Eingabe!G73&lt;&gt;"",ISNUMBER(Eingabe!H73),ISNUMBER(Eingabe!I73)),"OK - manueller Wert überschreibt Katalog","OK")))))))</f>
        <v/>
      </c>
    </row>
    <row r="35">
      <c r="A35" s="21">
        <f>IF($D35="","",Eingabe!A74)</f>
        <v/>
      </c>
      <c r="B35" s="13">
        <f>IF($D35="","",IF(Eingabe!B74="","",Eingabe!B74))</f>
        <v/>
      </c>
      <c r="C35" s="13">
        <f>IF($D35="","",IF(Eingabe!C74="","",Eingabe!C74))</f>
        <v/>
      </c>
      <c r="D35" s="13">
        <f>IF(Eingabe!D74="","",Eingabe!D74)</f>
        <v/>
      </c>
      <c r="E35" s="26">
        <f>IF($D35="","",IF(ISNUMBER(Eingabe!E74),Eingabe!E74,0))</f>
        <v/>
      </c>
      <c r="F35" s="21">
        <f>IF($D35="","",IF(Eingabe!G74&lt;&gt;"",Eingabe!G74,IFERROR(INDEX(Katalog_Einheit,MATCH($D35,Katalog_Leistung,0)),"?")))</f>
        <v/>
      </c>
      <c r="G35" s="27">
        <f>IF($D35="","",IF(ISNUMBER(Eingabe!H74),Eingabe!H74,IFERROR(INDEX(Katalog_Material,MATCH($D35,Katalog_Leistung,0)),0)*(1+IF(ISNUMBER(Eingabe!$D$39),Eingabe!$D$39,0))))</f>
        <v/>
      </c>
      <c r="H35" s="28">
        <f>IF($D35="","",IF(ISNUMBER(Eingabe!I74),Eingabe!I74,IFERROR(INDEX(Katalog_Zeit,MATCH($D35,Katalog_Leistung,0)),0)))</f>
        <v/>
      </c>
      <c r="I35" s="27">
        <f>IF($D35="","",ROUND($E35*$G35,2))</f>
        <v/>
      </c>
      <c r="J35" s="27">
        <f>IF($D35="","",ROUND($I35*IF(ISNUMBER(Eingabe!$D$32),Eingabe!$D$32,0),2))</f>
        <v/>
      </c>
      <c r="K35" s="28">
        <f>IF($D35="","",$E35*$H35)</f>
        <v/>
      </c>
      <c r="L35" s="27">
        <f>IF($D35="","",ROUND($K35*IF(ISNUMBER(Eingabe!$D$31),Eingabe!$D$31,0),2))</f>
        <v/>
      </c>
      <c r="M35" s="27">
        <f>IF($D35="","",$I35+$J35+$L35)</f>
        <v/>
      </c>
      <c r="N35" s="27">
        <f>IF($D35="","",ROUND($M35*IF(ISNUMBER(Eingabe!$D$33),Eingabe!$D$33,0),2))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IF($D35="","",IF(ISNA(MATCH($D35,Katalog_Leistung,0)),IF(OR(Eingabe!G74="",NOT(ISNUMBER(Eingabe!H74)),NOT(ISNUMBER(Eingabe!I74))),"! Freie Position: Einheit, Material und Zeit in Spalte G, H und I eintragen",IF(NOT(ISNUMBER(Eingabe!E74)),"!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Leistung",IF(NOT(ISNUMBER(Eingabe!E74)),"! Menge fehlt oder ist keine Zahl",IF($E35&lt;=0,"! Menge muss größer 0 sein",IF(OR(Eingabe!G74&lt;&gt;"",ISNUMBER(Eingabe!H74),ISNUMBER(Eingabe!I74)),"OK - manueller Wert überschreibt Katalog","OK")))))))</f>
        <v/>
      </c>
    </row>
    <row r="36">
      <c r="A36" s="21">
        <f>IF($D36="","",Eingabe!A75)</f>
        <v/>
      </c>
      <c r="B36" s="13">
        <f>IF($D36="","",IF(Eingabe!B75="","",Eingabe!B75))</f>
        <v/>
      </c>
      <c r="C36" s="13">
        <f>IF($D36="","",IF(Eingabe!C75="","",Eingabe!C75))</f>
        <v/>
      </c>
      <c r="D36" s="13">
        <f>IF(Eingabe!D75="","",Eingabe!D75)</f>
        <v/>
      </c>
      <c r="E36" s="26">
        <f>IF($D36="","",IF(ISNUMBER(Eingabe!E75),Eingabe!E75,0))</f>
        <v/>
      </c>
      <c r="F36" s="21">
        <f>IF($D36="","",IF(Eingabe!G75&lt;&gt;"",Eingabe!G75,IFERROR(INDEX(Katalog_Einheit,MATCH($D36,Katalog_Leistung,0)),"?")))</f>
        <v/>
      </c>
      <c r="G36" s="27">
        <f>IF($D36="","",IF(ISNUMBER(Eingabe!H75),Eingabe!H75,IFERROR(INDEX(Katalog_Material,MATCH($D36,Katalog_Leistung,0)),0)*(1+IF(ISNUMBER(Eingabe!$D$39),Eingabe!$D$39,0))))</f>
        <v/>
      </c>
      <c r="H36" s="28">
        <f>IF($D36="","",IF(ISNUMBER(Eingabe!I75),Eingabe!I75,IFERROR(INDEX(Katalog_Zeit,MATCH($D36,Katalog_Leistung,0)),0)))</f>
        <v/>
      </c>
      <c r="I36" s="27">
        <f>IF($D36="","",ROUND($E36*$G36,2))</f>
        <v/>
      </c>
      <c r="J36" s="27">
        <f>IF($D36="","",ROUND($I36*IF(ISNUMBER(Eingabe!$D$32),Eingabe!$D$32,0),2))</f>
        <v/>
      </c>
      <c r="K36" s="28">
        <f>IF($D36="","",$E36*$H36)</f>
        <v/>
      </c>
      <c r="L36" s="27">
        <f>IF($D36="","",ROUND($K36*IF(ISNUMBER(Eingabe!$D$31),Eingabe!$D$31,0),2))</f>
        <v/>
      </c>
      <c r="M36" s="27">
        <f>IF($D36="","",$I36+$J36+$L36)</f>
        <v/>
      </c>
      <c r="N36" s="27">
        <f>IF($D36="","",ROUND($M36*IF(ISNUMBER(Eingabe!$D$33),Eingabe!$D$33,0),2))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IF($D36="","",IF(ISNA(MATCH($D36,Katalog_Leistung,0)),IF(OR(Eingabe!G75="",NOT(ISNUMBER(Eingabe!H75)),NOT(ISNUMBER(Eingabe!I75))),"! Freie Position: Einheit, Material und Zeit in Spalte G, H und I eintragen",IF(NOT(ISNUMBER(Eingabe!E75)),"!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Leistung",IF(NOT(ISNUMBER(Eingabe!E75)),"! Menge fehlt oder ist keine Zahl",IF($E36&lt;=0,"! Menge muss größer 0 sein",IF(OR(Eingabe!G75&lt;&gt;"",ISNUMBER(Eingabe!H75),ISNUMBER(Eingabe!I75)),"OK - manueller Wert überschreibt Katalog","OK")))))))</f>
        <v/>
      </c>
    </row>
    <row r="37">
      <c r="A37" s="21">
        <f>IF($D37="","",Eingabe!A76)</f>
        <v/>
      </c>
      <c r="B37" s="13">
        <f>IF($D37="","",IF(Eingabe!B76="","",Eingabe!B76))</f>
        <v/>
      </c>
      <c r="C37" s="13">
        <f>IF($D37="","",IF(Eingabe!C76="","",Eingabe!C76))</f>
        <v/>
      </c>
      <c r="D37" s="13">
        <f>IF(Eingabe!D76="","",Eingabe!D76)</f>
        <v/>
      </c>
      <c r="E37" s="26">
        <f>IF($D37="","",IF(ISNUMBER(Eingabe!E76),Eingabe!E76,0))</f>
        <v/>
      </c>
      <c r="F37" s="21">
        <f>IF($D37="","",IF(Eingabe!G76&lt;&gt;"",Eingabe!G76,IFERROR(INDEX(Katalog_Einheit,MATCH($D37,Katalog_Leistung,0)),"?")))</f>
        <v/>
      </c>
      <c r="G37" s="27">
        <f>IF($D37="","",IF(ISNUMBER(Eingabe!H76),Eingabe!H76,IFERROR(INDEX(Katalog_Material,MATCH($D37,Katalog_Leistung,0)),0)*(1+IF(ISNUMBER(Eingabe!$D$39),Eingabe!$D$39,0))))</f>
        <v/>
      </c>
      <c r="H37" s="28">
        <f>IF($D37="","",IF(ISNUMBER(Eingabe!I76),Eingabe!I76,IFERROR(INDEX(Katalog_Zeit,MATCH($D37,Katalog_Leistung,0)),0)))</f>
        <v/>
      </c>
      <c r="I37" s="27">
        <f>IF($D37="","",ROUND($E37*$G37,2))</f>
        <v/>
      </c>
      <c r="J37" s="27">
        <f>IF($D37="","",ROUND($I37*IF(ISNUMBER(Eingabe!$D$32),Eingabe!$D$32,0),2))</f>
        <v/>
      </c>
      <c r="K37" s="28">
        <f>IF($D37="","",$E37*$H37)</f>
        <v/>
      </c>
      <c r="L37" s="27">
        <f>IF($D37="","",ROUND($K37*IF(ISNUMBER(Eingabe!$D$31),Eingabe!$D$31,0),2))</f>
        <v/>
      </c>
      <c r="M37" s="27">
        <f>IF($D37="","",$I37+$J37+$L37)</f>
        <v/>
      </c>
      <c r="N37" s="27">
        <f>IF($D37="","",ROUND($M37*IF(ISNUMBER(Eingabe!$D$33),Eingabe!$D$33,0),2))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IF($D37="","",IF(ISNA(MATCH($D37,Katalog_Leistung,0)),IF(OR(Eingabe!G76="",NOT(ISNUMBER(Eingabe!H76)),NOT(ISNUMBER(Eingabe!I76))),"! Freie Position: Einheit, Material und Zeit in Spalte G, H und I eintragen",IF(NOT(ISNUMBER(Eingabe!E76)),"!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Leistung",IF(NOT(ISNUMBER(Eingabe!E76)),"! Menge fehlt oder ist keine Zahl",IF($E37&lt;=0,"! Menge muss größer 0 sein",IF(OR(Eingabe!G76&lt;&gt;"",ISNUMBER(Eingabe!H76),ISNUMBER(Eingabe!I76)),"OK - manueller Wert überschreibt Katalog","OK")))))))</f>
        <v/>
      </c>
    </row>
    <row r="38">
      <c r="A38" s="21">
        <f>IF($D38="","",Eingabe!A77)</f>
        <v/>
      </c>
      <c r="B38" s="13">
        <f>IF($D38="","",IF(Eingabe!B77="","",Eingabe!B77))</f>
        <v/>
      </c>
      <c r="C38" s="13">
        <f>IF($D38="","",IF(Eingabe!C77="","",Eingabe!C77))</f>
        <v/>
      </c>
      <c r="D38" s="13">
        <f>IF(Eingabe!D77="","",Eingabe!D77)</f>
        <v/>
      </c>
      <c r="E38" s="26">
        <f>IF($D38="","",IF(ISNUMBER(Eingabe!E77),Eingabe!E77,0))</f>
        <v/>
      </c>
      <c r="F38" s="21">
        <f>IF($D38="","",IF(Eingabe!G77&lt;&gt;"",Eingabe!G77,IFERROR(INDEX(Katalog_Einheit,MATCH($D38,Katalog_Leistung,0)),"?")))</f>
        <v/>
      </c>
      <c r="G38" s="27">
        <f>IF($D38="","",IF(ISNUMBER(Eingabe!H77),Eingabe!H77,IFERROR(INDEX(Katalog_Material,MATCH($D38,Katalog_Leistung,0)),0)*(1+IF(ISNUMBER(Eingabe!$D$39),Eingabe!$D$39,0))))</f>
        <v/>
      </c>
      <c r="H38" s="28">
        <f>IF($D38="","",IF(ISNUMBER(Eingabe!I77),Eingabe!I77,IFERROR(INDEX(Katalog_Zeit,MATCH($D38,Katalog_Leistung,0)),0)))</f>
        <v/>
      </c>
      <c r="I38" s="27">
        <f>IF($D38="","",ROUND($E38*$G38,2))</f>
        <v/>
      </c>
      <c r="J38" s="27">
        <f>IF($D38="","",ROUND($I38*IF(ISNUMBER(Eingabe!$D$32),Eingabe!$D$32,0),2))</f>
        <v/>
      </c>
      <c r="K38" s="28">
        <f>IF($D38="","",$E38*$H38)</f>
        <v/>
      </c>
      <c r="L38" s="27">
        <f>IF($D38="","",ROUND($K38*IF(ISNUMBER(Eingabe!$D$31),Eingabe!$D$31,0),2))</f>
        <v/>
      </c>
      <c r="M38" s="27">
        <f>IF($D38="","",$I38+$J38+$L38)</f>
        <v/>
      </c>
      <c r="N38" s="27">
        <f>IF($D38="","",ROUND($M38*IF(ISNUMBER(Eingabe!$D$33),Eingabe!$D$33,0),2))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IF($D38="","",IF(ISNA(MATCH($D38,Katalog_Leistung,0)),IF(OR(Eingabe!G77="",NOT(ISNUMBER(Eingabe!H77)),NOT(ISNUMBER(Eingabe!I77))),"! Freie Position: Einheit, Material und Zeit in Spalte G, H und I eintragen",IF(NOT(ISNUMBER(Eingabe!E77)),"!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Leistung",IF(NOT(ISNUMBER(Eingabe!E77)),"! Menge fehlt oder ist keine Zahl",IF($E38&lt;=0,"! Menge muss größer 0 sein",IF(OR(Eingabe!G77&lt;&gt;"",ISNUMBER(Eingabe!H77),ISNUMBER(Eingabe!I77)),"OK - manueller Wert überschreibt Katalog","OK")))))))</f>
        <v/>
      </c>
    </row>
    <row r="39">
      <c r="A39" s="21">
        <f>IF($D39="","",Eingabe!A78)</f>
        <v/>
      </c>
      <c r="B39" s="13">
        <f>IF($D39="","",IF(Eingabe!B78="","",Eingabe!B78))</f>
        <v/>
      </c>
      <c r="C39" s="13">
        <f>IF($D39="","",IF(Eingabe!C78="","",Eingabe!C78))</f>
        <v/>
      </c>
      <c r="D39" s="13">
        <f>IF(Eingabe!D78="","",Eingabe!D78)</f>
        <v/>
      </c>
      <c r="E39" s="26">
        <f>IF($D39="","",IF(ISNUMBER(Eingabe!E78),Eingabe!E78,0))</f>
        <v/>
      </c>
      <c r="F39" s="21">
        <f>IF($D39="","",IF(Eingabe!G78&lt;&gt;"",Eingabe!G78,IFERROR(INDEX(Katalog_Einheit,MATCH($D39,Katalog_Leistung,0)),"?")))</f>
        <v/>
      </c>
      <c r="G39" s="27">
        <f>IF($D39="","",IF(ISNUMBER(Eingabe!H78),Eingabe!H78,IFERROR(INDEX(Katalog_Material,MATCH($D39,Katalog_Leistung,0)),0)*(1+IF(ISNUMBER(Eingabe!$D$39),Eingabe!$D$39,0))))</f>
        <v/>
      </c>
      <c r="H39" s="28">
        <f>IF($D39="","",IF(ISNUMBER(Eingabe!I78),Eingabe!I78,IFERROR(INDEX(Katalog_Zeit,MATCH($D39,Katalog_Leistung,0)),0)))</f>
        <v/>
      </c>
      <c r="I39" s="27">
        <f>IF($D39="","",ROUND($E39*$G39,2))</f>
        <v/>
      </c>
      <c r="J39" s="27">
        <f>IF($D39="","",ROUND($I39*IF(ISNUMBER(Eingabe!$D$32),Eingabe!$D$32,0),2))</f>
        <v/>
      </c>
      <c r="K39" s="28">
        <f>IF($D39="","",$E39*$H39)</f>
        <v/>
      </c>
      <c r="L39" s="27">
        <f>IF($D39="","",ROUND($K39*IF(ISNUMBER(Eingabe!$D$31),Eingabe!$D$31,0),2))</f>
        <v/>
      </c>
      <c r="M39" s="27">
        <f>IF($D39="","",$I39+$J39+$L39)</f>
        <v/>
      </c>
      <c r="N39" s="27">
        <f>IF($D39="","",ROUND($M39*IF(ISNUMBER(Eingabe!$D$33),Eingabe!$D$33,0),2))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IF($D39="","",IF(ISNA(MATCH($D39,Katalog_Leistung,0)),IF(OR(Eingabe!G78="",NOT(ISNUMBER(Eingabe!H78)),NOT(ISNUMBER(Eingabe!I78))),"! Freie Position: Einheit, Material und Zeit in Spalte G, H und I eintragen",IF(NOT(ISNUMBER(Eingabe!E78)),"!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Leistung",IF(NOT(ISNUMBER(Eingabe!E78)),"! Menge fehlt oder ist keine Zahl",IF($E39&lt;=0,"! Menge muss größer 0 sein",IF(OR(Eingabe!G78&lt;&gt;"",ISNUMBER(Eingabe!H78),ISNUMBER(Eingabe!I78)),"OK - manueller Wert überschreibt Katalog","OK")))))))</f>
        <v/>
      </c>
    </row>
    <row r="40">
      <c r="A40" s="21">
        <f>IF($D40="","",Eingabe!A79)</f>
        <v/>
      </c>
      <c r="B40" s="13">
        <f>IF($D40="","",IF(Eingabe!B79="","",Eingabe!B79))</f>
        <v/>
      </c>
      <c r="C40" s="13">
        <f>IF($D40="","",IF(Eingabe!C79="","",Eingabe!C79))</f>
        <v/>
      </c>
      <c r="D40" s="13">
        <f>IF(Eingabe!D79="","",Eingabe!D79)</f>
        <v/>
      </c>
      <c r="E40" s="26">
        <f>IF($D40="","",IF(ISNUMBER(Eingabe!E79),Eingabe!E79,0))</f>
        <v/>
      </c>
      <c r="F40" s="21">
        <f>IF($D40="","",IF(Eingabe!G79&lt;&gt;"",Eingabe!G79,IFERROR(INDEX(Katalog_Einheit,MATCH($D40,Katalog_Leistung,0)),"?")))</f>
        <v/>
      </c>
      <c r="G40" s="27">
        <f>IF($D40="","",IF(ISNUMBER(Eingabe!H79),Eingabe!H79,IFERROR(INDEX(Katalog_Material,MATCH($D40,Katalog_Leistung,0)),0)*(1+IF(ISNUMBER(Eingabe!$D$39),Eingabe!$D$39,0))))</f>
        <v/>
      </c>
      <c r="H40" s="28">
        <f>IF($D40="","",IF(ISNUMBER(Eingabe!I79),Eingabe!I79,IFERROR(INDEX(Katalog_Zeit,MATCH($D40,Katalog_Leistung,0)),0)))</f>
        <v/>
      </c>
      <c r="I40" s="27">
        <f>IF($D40="","",ROUND($E40*$G40,2))</f>
        <v/>
      </c>
      <c r="J40" s="27">
        <f>IF($D40="","",ROUND($I40*IF(ISNUMBER(Eingabe!$D$32),Eingabe!$D$32,0),2))</f>
        <v/>
      </c>
      <c r="K40" s="28">
        <f>IF($D40="","",$E40*$H40)</f>
        <v/>
      </c>
      <c r="L40" s="27">
        <f>IF($D40="","",ROUND($K40*IF(ISNUMBER(Eingabe!$D$31),Eingabe!$D$31,0),2))</f>
        <v/>
      </c>
      <c r="M40" s="27">
        <f>IF($D40="","",$I40+$J40+$L40)</f>
        <v/>
      </c>
      <c r="N40" s="27">
        <f>IF($D40="","",ROUND($M40*IF(ISNUMBER(Eingabe!$D$33),Eingabe!$D$33,0),2))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IF($D40="","",IF(ISNA(MATCH($D40,Katalog_Leistung,0)),IF(OR(Eingabe!G79="",NOT(ISNUMBER(Eingabe!H79)),NOT(ISNUMBER(Eingabe!I79))),"! Freie Position: Einheit, Material und Zeit in Spalte G, H und I eintragen",IF(NOT(ISNUMBER(Eingabe!E79)),"!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Leistung",IF(NOT(ISNUMBER(Eingabe!E79)),"! Menge fehlt oder ist keine Zahl",IF($E40&lt;=0,"! Menge muss größer 0 sein",IF(OR(Eingabe!G79&lt;&gt;"",ISNUMBER(Eingabe!H79),ISNUMBER(Eingabe!I79)),"OK - manueller Wert überschreibt Katalog","OK")))))))</f>
        <v/>
      </c>
    </row>
    <row r="41">
      <c r="A41" s="21">
        <f>IF($D41="","",Eingabe!A80)</f>
        <v/>
      </c>
      <c r="B41" s="13">
        <f>IF($D41="","",IF(Eingabe!B80="","",Eingabe!B80))</f>
        <v/>
      </c>
      <c r="C41" s="13">
        <f>IF($D41="","",IF(Eingabe!C80="","",Eingabe!C80))</f>
        <v/>
      </c>
      <c r="D41" s="13">
        <f>IF(Eingabe!D80="","",Eingabe!D80)</f>
        <v/>
      </c>
      <c r="E41" s="26">
        <f>IF($D41="","",IF(ISNUMBER(Eingabe!E80),Eingabe!E80,0))</f>
        <v/>
      </c>
      <c r="F41" s="21">
        <f>IF($D41="","",IF(Eingabe!G80&lt;&gt;"",Eingabe!G80,IFERROR(INDEX(Katalog_Einheit,MATCH($D41,Katalog_Leistung,0)),"?")))</f>
        <v/>
      </c>
      <c r="G41" s="27">
        <f>IF($D41="","",IF(ISNUMBER(Eingabe!H80),Eingabe!H80,IFERROR(INDEX(Katalog_Material,MATCH($D41,Katalog_Leistung,0)),0)*(1+IF(ISNUMBER(Eingabe!$D$39),Eingabe!$D$39,0))))</f>
        <v/>
      </c>
      <c r="H41" s="28">
        <f>IF($D41="","",IF(ISNUMBER(Eingabe!I80),Eingabe!I80,IFERROR(INDEX(Katalog_Zeit,MATCH($D41,Katalog_Leistung,0)),0)))</f>
        <v/>
      </c>
      <c r="I41" s="27">
        <f>IF($D41="","",ROUND($E41*$G41,2))</f>
        <v/>
      </c>
      <c r="J41" s="27">
        <f>IF($D41="","",ROUND($I41*IF(ISNUMBER(Eingabe!$D$32),Eingabe!$D$32,0),2))</f>
        <v/>
      </c>
      <c r="K41" s="28">
        <f>IF($D41="","",$E41*$H41)</f>
        <v/>
      </c>
      <c r="L41" s="27">
        <f>IF($D41="","",ROUND($K41*IF(ISNUMBER(Eingabe!$D$31),Eingabe!$D$31,0),2))</f>
        <v/>
      </c>
      <c r="M41" s="27">
        <f>IF($D41="","",$I41+$J41+$L41)</f>
        <v/>
      </c>
      <c r="N41" s="27">
        <f>IF($D41="","",ROUND($M41*IF(ISNUMBER(Eingabe!$D$33),Eingabe!$D$33,0),2))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IF($D41="","",IF(ISNA(MATCH($D41,Katalog_Leistung,0)),IF(OR(Eingabe!G80="",NOT(ISNUMBER(Eingabe!H80)),NOT(ISNUMBER(Eingabe!I80))),"! Freie Position: Einheit, Material und Zeit in Spalte G, H und I eintragen",IF(NOT(ISNUMBER(Eingabe!E80)),"!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Leistung",IF(NOT(ISNUMBER(Eingabe!E80)),"! Menge fehlt oder ist keine Zahl",IF($E41&lt;=0,"! Menge muss größer 0 sein",IF(OR(Eingabe!G80&lt;&gt;"",ISNUMBER(Eingabe!H80),ISNUMBER(Eingabe!I80)),"OK - manueller Wert überschreibt Katalog","OK")))))))</f>
        <v/>
      </c>
    </row>
    <row r="42">
      <c r="A42" s="21">
        <f>IF($D42="","",Eingabe!A81)</f>
        <v/>
      </c>
      <c r="B42" s="13">
        <f>IF($D42="","",IF(Eingabe!B81="","",Eingabe!B81))</f>
        <v/>
      </c>
      <c r="C42" s="13">
        <f>IF($D42="","",IF(Eingabe!C81="","",Eingabe!C81))</f>
        <v/>
      </c>
      <c r="D42" s="13">
        <f>IF(Eingabe!D81="","",Eingabe!D81)</f>
        <v/>
      </c>
      <c r="E42" s="26">
        <f>IF($D42="","",IF(ISNUMBER(Eingabe!E81),Eingabe!E81,0))</f>
        <v/>
      </c>
      <c r="F42" s="21">
        <f>IF($D42="","",IF(Eingabe!G81&lt;&gt;"",Eingabe!G81,IFERROR(INDEX(Katalog_Einheit,MATCH($D42,Katalog_Leistung,0)),"?")))</f>
        <v/>
      </c>
      <c r="G42" s="27">
        <f>IF($D42="","",IF(ISNUMBER(Eingabe!H81),Eingabe!H81,IFERROR(INDEX(Katalog_Material,MATCH($D42,Katalog_Leistung,0)),0)*(1+IF(ISNUMBER(Eingabe!$D$39),Eingabe!$D$39,0))))</f>
        <v/>
      </c>
      <c r="H42" s="28">
        <f>IF($D42="","",IF(ISNUMBER(Eingabe!I81),Eingabe!I81,IFERROR(INDEX(Katalog_Zeit,MATCH($D42,Katalog_Leistung,0)),0)))</f>
        <v/>
      </c>
      <c r="I42" s="27">
        <f>IF($D42="","",ROUND($E42*$G42,2))</f>
        <v/>
      </c>
      <c r="J42" s="27">
        <f>IF($D42="","",ROUND($I42*IF(ISNUMBER(Eingabe!$D$32),Eingabe!$D$32,0),2))</f>
        <v/>
      </c>
      <c r="K42" s="28">
        <f>IF($D42="","",$E42*$H42)</f>
        <v/>
      </c>
      <c r="L42" s="27">
        <f>IF($D42="","",ROUND($K42*IF(ISNUMBER(Eingabe!$D$31),Eingabe!$D$31,0),2))</f>
        <v/>
      </c>
      <c r="M42" s="27">
        <f>IF($D42="","",$I42+$J42+$L42)</f>
        <v/>
      </c>
      <c r="N42" s="27">
        <f>IF($D42="","",ROUND($M42*IF(ISNUMBER(Eingabe!$D$33),Eingabe!$D$33,0),2))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IF($D42="","",IF(ISNA(MATCH($D42,Katalog_Leistung,0)),IF(OR(Eingabe!G81="",NOT(ISNUMBER(Eingabe!H81)),NOT(ISNUMBER(Eingabe!I81))),"! Freie Position: Einheit, Material und Zeit in Spalte G, H und I eintragen",IF(NOT(ISNUMBER(Eingabe!E81)),"!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Leistung",IF(NOT(ISNUMBER(Eingabe!E81)),"! Menge fehlt oder ist keine Zahl",IF($E42&lt;=0,"! Menge muss größer 0 sein",IF(OR(Eingabe!G81&lt;&gt;"",ISNUMBER(Eingabe!H81),ISNUMBER(Eingabe!I81)),"OK - manueller Wert überschreibt Katalog","OK")))))))</f>
        <v/>
      </c>
    </row>
    <row r="43">
      <c r="A43" s="21">
        <f>IF($D43="","",Eingabe!A82)</f>
        <v/>
      </c>
      <c r="B43" s="13">
        <f>IF($D43="","",IF(Eingabe!B82="","",Eingabe!B82))</f>
        <v/>
      </c>
      <c r="C43" s="13">
        <f>IF($D43="","",IF(Eingabe!C82="","",Eingabe!C82))</f>
        <v/>
      </c>
      <c r="D43" s="13">
        <f>IF(Eingabe!D82="","",Eingabe!D82)</f>
        <v/>
      </c>
      <c r="E43" s="26">
        <f>IF($D43="","",IF(ISNUMBER(Eingabe!E82),Eingabe!E82,0))</f>
        <v/>
      </c>
      <c r="F43" s="21">
        <f>IF($D43="","",IF(Eingabe!G82&lt;&gt;"",Eingabe!G82,IFERROR(INDEX(Katalog_Einheit,MATCH($D43,Katalog_Leistung,0)),"?")))</f>
        <v/>
      </c>
      <c r="G43" s="27">
        <f>IF($D43="","",IF(ISNUMBER(Eingabe!H82),Eingabe!H82,IFERROR(INDEX(Katalog_Material,MATCH($D43,Katalog_Leistung,0)),0)*(1+IF(ISNUMBER(Eingabe!$D$39),Eingabe!$D$39,0))))</f>
        <v/>
      </c>
      <c r="H43" s="28">
        <f>IF($D43="","",IF(ISNUMBER(Eingabe!I82),Eingabe!I82,IFERROR(INDEX(Katalog_Zeit,MATCH($D43,Katalog_Leistung,0)),0)))</f>
        <v/>
      </c>
      <c r="I43" s="27">
        <f>IF($D43="","",ROUND($E43*$G43,2))</f>
        <v/>
      </c>
      <c r="J43" s="27">
        <f>IF($D43="","",ROUND($I43*IF(ISNUMBER(Eingabe!$D$32),Eingabe!$D$32,0),2))</f>
        <v/>
      </c>
      <c r="K43" s="28">
        <f>IF($D43="","",$E43*$H43)</f>
        <v/>
      </c>
      <c r="L43" s="27">
        <f>IF($D43="","",ROUND($K43*IF(ISNUMBER(Eingabe!$D$31),Eingabe!$D$31,0),2))</f>
        <v/>
      </c>
      <c r="M43" s="27">
        <f>IF($D43="","",$I43+$J43+$L43)</f>
        <v/>
      </c>
      <c r="N43" s="27">
        <f>IF($D43="","",ROUND($M43*IF(ISNUMBER(Eingabe!$D$33),Eingabe!$D$33,0),2))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IF($D43="","",IF(ISNA(MATCH($D43,Katalog_Leistung,0)),IF(OR(Eingabe!G82="",NOT(ISNUMBER(Eingabe!H82)),NOT(ISNUMBER(Eingabe!I82))),"! Freie Position: Einheit, Material und Zeit in Spalte G, H und I eintragen",IF(NOT(ISNUMBER(Eingabe!E82)),"!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Leistung",IF(NOT(ISNUMBER(Eingabe!E82)),"! Menge fehlt oder ist keine Zahl",IF($E43&lt;=0,"! Menge muss größer 0 sein",IF(OR(Eingabe!G82&lt;&gt;"",ISNUMBER(Eingabe!H82),ISNUMBER(Eingabe!I82)),"OK - manueller Wert überschreibt Katalog","OK")))))))</f>
        <v/>
      </c>
    </row>
    <row r="44">
      <c r="A44" s="21">
        <f>IF($D44="","",Eingabe!A83)</f>
        <v/>
      </c>
      <c r="B44" s="13">
        <f>IF($D44="","",IF(Eingabe!B83="","",Eingabe!B83))</f>
        <v/>
      </c>
      <c r="C44" s="13">
        <f>IF($D44="","",IF(Eingabe!C83="","",Eingabe!C83))</f>
        <v/>
      </c>
      <c r="D44" s="13">
        <f>IF(Eingabe!D83="","",Eingabe!D83)</f>
        <v/>
      </c>
      <c r="E44" s="26">
        <f>IF($D44="","",IF(ISNUMBER(Eingabe!E83),Eingabe!E83,0))</f>
        <v/>
      </c>
      <c r="F44" s="21">
        <f>IF($D44="","",IF(Eingabe!G83&lt;&gt;"",Eingabe!G83,IFERROR(INDEX(Katalog_Einheit,MATCH($D44,Katalog_Leistung,0)),"?")))</f>
        <v/>
      </c>
      <c r="G44" s="27">
        <f>IF($D44="","",IF(ISNUMBER(Eingabe!H83),Eingabe!H83,IFERROR(INDEX(Katalog_Material,MATCH($D44,Katalog_Leistung,0)),0)*(1+IF(ISNUMBER(Eingabe!$D$39),Eingabe!$D$39,0))))</f>
        <v/>
      </c>
      <c r="H44" s="28">
        <f>IF($D44="","",IF(ISNUMBER(Eingabe!I83),Eingabe!I83,IFERROR(INDEX(Katalog_Zeit,MATCH($D44,Katalog_Leistung,0)),0)))</f>
        <v/>
      </c>
      <c r="I44" s="27">
        <f>IF($D44="","",ROUND($E44*$G44,2))</f>
        <v/>
      </c>
      <c r="J44" s="27">
        <f>IF($D44="","",ROUND($I44*IF(ISNUMBER(Eingabe!$D$32),Eingabe!$D$32,0),2))</f>
        <v/>
      </c>
      <c r="K44" s="28">
        <f>IF($D44="","",$E44*$H44)</f>
        <v/>
      </c>
      <c r="L44" s="27">
        <f>IF($D44="","",ROUND($K44*IF(ISNUMBER(Eingabe!$D$31),Eingabe!$D$31,0),2))</f>
        <v/>
      </c>
      <c r="M44" s="27">
        <f>IF($D44="","",$I44+$J44+$L44)</f>
        <v/>
      </c>
      <c r="N44" s="27">
        <f>IF($D44="","",ROUND($M44*IF(ISNUMBER(Eingabe!$D$33),Eingabe!$D$33,0),2))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IF($D44="","",IF(ISNA(MATCH($D44,Katalog_Leistung,0)),IF(OR(Eingabe!G83="",NOT(ISNUMBER(Eingabe!H83)),NOT(ISNUMBER(Eingabe!I83))),"! Freie Position: Einheit, Material und Zeit in Spalte G, H und I eintragen",IF(NOT(ISNUMBER(Eingabe!E83)),"!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Leistung",IF(NOT(ISNUMBER(Eingabe!E83)),"! Menge fehlt oder ist keine Zahl",IF($E44&lt;=0,"! Menge muss größer 0 sein",IF(OR(Eingabe!G83&lt;&gt;"",ISNUMBER(Eingabe!H83),ISNUMBER(Eingabe!I83)),"OK - manueller Wert überschreibt Katalog","OK")))))))</f>
        <v/>
      </c>
    </row>
    <row r="45">
      <c r="A45" s="21">
        <f>IF($D45="","",Eingabe!A84)</f>
        <v/>
      </c>
      <c r="B45" s="13">
        <f>IF($D45="","",IF(Eingabe!B84="","",Eingabe!B84))</f>
        <v/>
      </c>
      <c r="C45" s="13">
        <f>IF($D45="","",IF(Eingabe!C84="","",Eingabe!C84))</f>
        <v/>
      </c>
      <c r="D45" s="13">
        <f>IF(Eingabe!D84="","",Eingabe!D84)</f>
        <v/>
      </c>
      <c r="E45" s="26">
        <f>IF($D45="","",IF(ISNUMBER(Eingabe!E84),Eingabe!E84,0))</f>
        <v/>
      </c>
      <c r="F45" s="21">
        <f>IF($D45="","",IF(Eingabe!G84&lt;&gt;"",Eingabe!G84,IFERROR(INDEX(Katalog_Einheit,MATCH($D45,Katalog_Leistung,0)),"?")))</f>
        <v/>
      </c>
      <c r="G45" s="27">
        <f>IF($D45="","",IF(ISNUMBER(Eingabe!H84),Eingabe!H84,IFERROR(INDEX(Katalog_Material,MATCH($D45,Katalog_Leistung,0)),0)*(1+IF(ISNUMBER(Eingabe!$D$39),Eingabe!$D$39,0))))</f>
        <v/>
      </c>
      <c r="H45" s="28">
        <f>IF($D45="","",IF(ISNUMBER(Eingabe!I84),Eingabe!I84,IFERROR(INDEX(Katalog_Zeit,MATCH($D45,Katalog_Leistung,0)),0)))</f>
        <v/>
      </c>
      <c r="I45" s="27">
        <f>IF($D45="","",ROUND($E45*$G45,2))</f>
        <v/>
      </c>
      <c r="J45" s="27">
        <f>IF($D45="","",ROUND($I45*IF(ISNUMBER(Eingabe!$D$32),Eingabe!$D$32,0),2))</f>
        <v/>
      </c>
      <c r="K45" s="28">
        <f>IF($D45="","",$E45*$H45)</f>
        <v/>
      </c>
      <c r="L45" s="27">
        <f>IF($D45="","",ROUND($K45*IF(ISNUMBER(Eingabe!$D$31),Eingabe!$D$31,0),2))</f>
        <v/>
      </c>
      <c r="M45" s="27">
        <f>IF($D45="","",$I45+$J45+$L45)</f>
        <v/>
      </c>
      <c r="N45" s="27">
        <f>IF($D45="","",ROUND($M45*IF(ISNUMBER(Eingabe!$D$33),Eingabe!$D$33,0),2))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IF($D45="","",IF(ISNA(MATCH($D45,Katalog_Leistung,0)),IF(OR(Eingabe!G84="",NOT(ISNUMBER(Eingabe!H84)),NOT(ISNUMBER(Eingabe!I84))),"! Freie Position: Einheit, Material und Zeit in Spalte G, H und I eintragen",IF(NOT(ISNUMBER(Eingabe!E84)),"!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Leistung",IF(NOT(ISNUMBER(Eingabe!E84)),"! Menge fehlt oder ist keine Zahl",IF($E45&lt;=0,"! Menge muss größer 0 sein",IF(OR(Eingabe!G84&lt;&gt;"",ISNUMBER(Eingabe!H84),ISNUMBER(Eingabe!I84)),"OK - manueller Wert überschreibt Katalog","OK")))))))</f>
        <v/>
      </c>
    </row>
    <row r="46">
      <c r="A46" s="21">
        <f>IF($D46="","",Eingabe!A85)</f>
        <v/>
      </c>
      <c r="B46" s="13">
        <f>IF($D46="","",IF(Eingabe!B85="","",Eingabe!B85))</f>
        <v/>
      </c>
      <c r="C46" s="13">
        <f>IF($D46="","",IF(Eingabe!C85="","",Eingabe!C85))</f>
        <v/>
      </c>
      <c r="D46" s="13">
        <f>IF(Eingabe!D85="","",Eingabe!D85)</f>
        <v/>
      </c>
      <c r="E46" s="26">
        <f>IF($D46="","",IF(ISNUMBER(Eingabe!E85),Eingabe!E85,0))</f>
        <v/>
      </c>
      <c r="F46" s="21">
        <f>IF($D46="","",IF(Eingabe!G85&lt;&gt;"",Eingabe!G85,IFERROR(INDEX(Katalog_Einheit,MATCH($D46,Katalog_Leistung,0)),"?")))</f>
        <v/>
      </c>
      <c r="G46" s="27">
        <f>IF($D46="","",IF(ISNUMBER(Eingabe!H85),Eingabe!H85,IFERROR(INDEX(Katalog_Material,MATCH($D46,Katalog_Leistung,0)),0)*(1+IF(ISNUMBER(Eingabe!$D$39),Eingabe!$D$39,0))))</f>
        <v/>
      </c>
      <c r="H46" s="28">
        <f>IF($D46="","",IF(ISNUMBER(Eingabe!I85),Eingabe!I85,IFERROR(INDEX(Katalog_Zeit,MATCH($D46,Katalog_Leistung,0)),0)))</f>
        <v/>
      </c>
      <c r="I46" s="27">
        <f>IF($D46="","",ROUND($E46*$G46,2))</f>
        <v/>
      </c>
      <c r="J46" s="27">
        <f>IF($D46="","",ROUND($I46*IF(ISNUMBER(Eingabe!$D$32),Eingabe!$D$32,0),2))</f>
        <v/>
      </c>
      <c r="K46" s="28">
        <f>IF($D46="","",$E46*$H46)</f>
        <v/>
      </c>
      <c r="L46" s="27">
        <f>IF($D46="","",ROUND($K46*IF(ISNUMBER(Eingabe!$D$31),Eingabe!$D$31,0),2))</f>
        <v/>
      </c>
      <c r="M46" s="27">
        <f>IF($D46="","",$I46+$J46+$L46)</f>
        <v/>
      </c>
      <c r="N46" s="27">
        <f>IF($D46="","",ROUND($M46*IF(ISNUMBER(Eingabe!$D$33),Eingabe!$D$33,0),2))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IF($D46="","",IF(ISNA(MATCH($D46,Katalog_Leistung,0)),IF(OR(Eingabe!G85="",NOT(ISNUMBER(Eingabe!H85)),NOT(ISNUMBER(Eingabe!I85))),"! Freie Position: Einheit, Material und Zeit in Spalte G, H und I eintragen",IF(NOT(ISNUMBER(Eingabe!E85)),"!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Leistung",IF(NOT(ISNUMBER(Eingabe!E85)),"! Menge fehlt oder ist keine Zahl",IF($E46&lt;=0,"! Menge muss größer 0 sein",IF(OR(Eingabe!G85&lt;&gt;"",ISNUMBER(Eingabe!H85),ISNUMBER(Eingabe!I85)),"OK - manueller Wert überschreibt Katalog","OK")))))))</f>
        <v/>
      </c>
    </row>
    <row r="47">
      <c r="A47" s="21">
        <f>IF($D47="","",Eingabe!A86)</f>
        <v/>
      </c>
      <c r="B47" s="13">
        <f>IF($D47="","",IF(Eingabe!B86="","",Eingabe!B86))</f>
        <v/>
      </c>
      <c r="C47" s="13">
        <f>IF($D47="","",IF(Eingabe!C86="","",Eingabe!C86))</f>
        <v/>
      </c>
      <c r="D47" s="13">
        <f>IF(Eingabe!D86="","",Eingabe!D86)</f>
        <v/>
      </c>
      <c r="E47" s="26">
        <f>IF($D47="","",IF(ISNUMBER(Eingabe!E86),Eingabe!E86,0))</f>
        <v/>
      </c>
      <c r="F47" s="21">
        <f>IF($D47="","",IF(Eingabe!G86&lt;&gt;"",Eingabe!G86,IFERROR(INDEX(Katalog_Einheit,MATCH($D47,Katalog_Leistung,0)),"?")))</f>
        <v/>
      </c>
      <c r="G47" s="27">
        <f>IF($D47="","",IF(ISNUMBER(Eingabe!H86),Eingabe!H86,IFERROR(INDEX(Katalog_Material,MATCH($D47,Katalog_Leistung,0)),0)*(1+IF(ISNUMBER(Eingabe!$D$39),Eingabe!$D$39,0))))</f>
        <v/>
      </c>
      <c r="H47" s="28">
        <f>IF($D47="","",IF(ISNUMBER(Eingabe!I86),Eingabe!I86,IFERROR(INDEX(Katalog_Zeit,MATCH($D47,Katalog_Leistung,0)),0)))</f>
        <v/>
      </c>
      <c r="I47" s="27">
        <f>IF($D47="","",ROUND($E47*$G47,2))</f>
        <v/>
      </c>
      <c r="J47" s="27">
        <f>IF($D47="","",ROUND($I47*IF(ISNUMBER(Eingabe!$D$32),Eingabe!$D$32,0),2))</f>
        <v/>
      </c>
      <c r="K47" s="28">
        <f>IF($D47="","",$E47*$H47)</f>
        <v/>
      </c>
      <c r="L47" s="27">
        <f>IF($D47="","",ROUND($K47*IF(ISNUMBER(Eingabe!$D$31),Eingabe!$D$31,0),2))</f>
        <v/>
      </c>
      <c r="M47" s="27">
        <f>IF($D47="","",$I47+$J47+$L47)</f>
        <v/>
      </c>
      <c r="N47" s="27">
        <f>IF($D47="","",ROUND($M47*IF(ISNUMBER(Eingabe!$D$33),Eingabe!$D$33,0),2))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IF($D47="","",IF(ISNA(MATCH($D47,Katalog_Leistung,0)),IF(OR(Eingabe!G86="",NOT(ISNUMBER(Eingabe!H86)),NOT(ISNUMBER(Eingabe!I86))),"! Freie Position: Einheit, Material und Zeit in Spalte G, H und I eintragen",IF(NOT(ISNUMBER(Eingabe!E86)),"!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Leistung",IF(NOT(ISNUMBER(Eingabe!E86)),"! Menge fehlt oder ist keine Zahl",IF($E47&lt;=0,"! Menge muss größer 0 sein",IF(OR(Eingabe!G86&lt;&gt;"",ISNUMBER(Eingabe!H86),ISNUMBER(Eingabe!I86)),"OK - manueller Wert überschreibt Katalog","OK")))))))</f>
        <v/>
      </c>
    </row>
    <row r="48">
      <c r="A48" s="21">
        <f>IF($D48="","",Eingabe!A87)</f>
        <v/>
      </c>
      <c r="B48" s="13">
        <f>IF($D48="","",IF(Eingabe!B87="","",Eingabe!B87))</f>
        <v/>
      </c>
      <c r="C48" s="13">
        <f>IF($D48="","",IF(Eingabe!C87="","",Eingabe!C87))</f>
        <v/>
      </c>
      <c r="D48" s="13">
        <f>IF(Eingabe!D87="","",Eingabe!D87)</f>
        <v/>
      </c>
      <c r="E48" s="26">
        <f>IF($D48="","",IF(ISNUMBER(Eingabe!E87),Eingabe!E87,0))</f>
        <v/>
      </c>
      <c r="F48" s="21">
        <f>IF($D48="","",IF(Eingabe!G87&lt;&gt;"",Eingabe!G87,IFERROR(INDEX(Katalog_Einheit,MATCH($D48,Katalog_Leistung,0)),"?")))</f>
        <v/>
      </c>
      <c r="G48" s="27">
        <f>IF($D48="","",IF(ISNUMBER(Eingabe!H87),Eingabe!H87,IFERROR(INDEX(Katalog_Material,MATCH($D48,Katalog_Leistung,0)),0)*(1+IF(ISNUMBER(Eingabe!$D$39),Eingabe!$D$39,0))))</f>
        <v/>
      </c>
      <c r="H48" s="28">
        <f>IF($D48="","",IF(ISNUMBER(Eingabe!I87),Eingabe!I87,IFERROR(INDEX(Katalog_Zeit,MATCH($D48,Katalog_Leistung,0)),0)))</f>
        <v/>
      </c>
      <c r="I48" s="27">
        <f>IF($D48="","",ROUND($E48*$G48,2))</f>
        <v/>
      </c>
      <c r="J48" s="27">
        <f>IF($D48="","",ROUND($I48*IF(ISNUMBER(Eingabe!$D$32),Eingabe!$D$32,0),2))</f>
        <v/>
      </c>
      <c r="K48" s="28">
        <f>IF($D48="","",$E48*$H48)</f>
        <v/>
      </c>
      <c r="L48" s="27">
        <f>IF($D48="","",ROUND($K48*IF(ISNUMBER(Eingabe!$D$31),Eingabe!$D$31,0),2))</f>
        <v/>
      </c>
      <c r="M48" s="27">
        <f>IF($D48="","",$I48+$J48+$L48)</f>
        <v/>
      </c>
      <c r="N48" s="27">
        <f>IF($D48="","",ROUND($M48*IF(ISNUMBER(Eingabe!$D$33),Eingabe!$D$33,0),2))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IF($D48="","",IF(ISNA(MATCH($D48,Katalog_Leistung,0)),IF(OR(Eingabe!G87="",NOT(ISNUMBER(Eingabe!H87)),NOT(ISNUMBER(Eingabe!I87))),"! Freie Position: Einheit, Material und Zeit in Spalte G, H und I eintragen",IF(NOT(ISNUMBER(Eingabe!E87)),"!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Leistung",IF(NOT(ISNUMBER(Eingabe!E87)),"! Menge fehlt oder ist keine Zahl",IF($E48&lt;=0,"! Menge muss größer 0 sein",IF(OR(Eingabe!G87&lt;&gt;"",ISNUMBER(Eingabe!H87),ISNUMBER(Eingabe!I87)),"OK - manueller Wert überschreibt Katalog","OK")))))))</f>
        <v/>
      </c>
    </row>
    <row r="49">
      <c r="A49" s="21">
        <f>IF($D49="","",Eingabe!A88)</f>
        <v/>
      </c>
      <c r="B49" s="13">
        <f>IF($D49="","",IF(Eingabe!B88="","",Eingabe!B88))</f>
        <v/>
      </c>
      <c r="C49" s="13">
        <f>IF($D49="","",IF(Eingabe!C88="","",Eingabe!C88))</f>
        <v/>
      </c>
      <c r="D49" s="13">
        <f>IF(Eingabe!D88="","",Eingabe!D88)</f>
        <v/>
      </c>
      <c r="E49" s="26">
        <f>IF($D49="","",IF(ISNUMBER(Eingabe!E88),Eingabe!E88,0))</f>
        <v/>
      </c>
      <c r="F49" s="21">
        <f>IF($D49="","",IF(Eingabe!G88&lt;&gt;"",Eingabe!G88,IFERROR(INDEX(Katalog_Einheit,MATCH($D49,Katalog_Leistung,0)),"?")))</f>
        <v/>
      </c>
      <c r="G49" s="27">
        <f>IF($D49="","",IF(ISNUMBER(Eingabe!H88),Eingabe!H88,IFERROR(INDEX(Katalog_Material,MATCH($D49,Katalog_Leistung,0)),0)*(1+IF(ISNUMBER(Eingabe!$D$39),Eingabe!$D$39,0))))</f>
        <v/>
      </c>
      <c r="H49" s="28">
        <f>IF($D49="","",IF(ISNUMBER(Eingabe!I88),Eingabe!I88,IFERROR(INDEX(Katalog_Zeit,MATCH($D49,Katalog_Leistung,0)),0)))</f>
        <v/>
      </c>
      <c r="I49" s="27">
        <f>IF($D49="","",ROUND($E49*$G49,2))</f>
        <v/>
      </c>
      <c r="J49" s="27">
        <f>IF($D49="","",ROUND($I49*IF(ISNUMBER(Eingabe!$D$32),Eingabe!$D$32,0),2))</f>
        <v/>
      </c>
      <c r="K49" s="28">
        <f>IF($D49="","",$E49*$H49)</f>
        <v/>
      </c>
      <c r="L49" s="27">
        <f>IF($D49="","",ROUND($K49*IF(ISNUMBER(Eingabe!$D$31),Eingabe!$D$31,0),2))</f>
        <v/>
      </c>
      <c r="M49" s="27">
        <f>IF($D49="","",$I49+$J49+$L49)</f>
        <v/>
      </c>
      <c r="N49" s="27">
        <f>IF($D49="","",ROUND($M49*IF(ISNUMBER(Eingabe!$D$33),Eingabe!$D$33,0),2))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IF($D49="","",IF(ISNA(MATCH($D49,Katalog_Leistung,0)),IF(OR(Eingabe!G88="",NOT(ISNUMBER(Eingabe!H88)),NOT(ISNUMBER(Eingabe!I88))),"! Freie Position: Einheit, Material und Zeit in Spalte G, H und I eintragen",IF(NOT(ISNUMBER(Eingabe!E88)),"!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Leistung",IF(NOT(ISNUMBER(Eingabe!E88)),"! Menge fehlt oder ist keine Zahl",IF($E49&lt;=0,"! Menge muss größer 0 sein",IF(OR(Eingabe!G88&lt;&gt;"",ISNUMBER(Eingabe!H88),ISNUMBER(Eingabe!I88)),"OK - manueller Wert überschreibt Katalog","OK")))))))</f>
        <v/>
      </c>
    </row>
    <row r="50">
      <c r="A50" s="21">
        <f>IF($D50="","",Eingabe!A89)</f>
        <v/>
      </c>
      <c r="B50" s="13">
        <f>IF($D50="","",IF(Eingabe!B89="","",Eingabe!B89))</f>
        <v/>
      </c>
      <c r="C50" s="13">
        <f>IF($D50="","",IF(Eingabe!C89="","",Eingabe!C89))</f>
        <v/>
      </c>
      <c r="D50" s="13">
        <f>IF(Eingabe!D89="","",Eingabe!D89)</f>
        <v/>
      </c>
      <c r="E50" s="26">
        <f>IF($D50="","",IF(ISNUMBER(Eingabe!E89),Eingabe!E89,0))</f>
        <v/>
      </c>
      <c r="F50" s="21">
        <f>IF($D50="","",IF(Eingabe!G89&lt;&gt;"",Eingabe!G89,IFERROR(INDEX(Katalog_Einheit,MATCH($D50,Katalog_Leistung,0)),"?")))</f>
        <v/>
      </c>
      <c r="G50" s="27">
        <f>IF($D50="","",IF(ISNUMBER(Eingabe!H89),Eingabe!H89,IFERROR(INDEX(Katalog_Material,MATCH($D50,Katalog_Leistung,0)),0)*(1+IF(ISNUMBER(Eingabe!$D$39),Eingabe!$D$39,0))))</f>
        <v/>
      </c>
      <c r="H50" s="28">
        <f>IF($D50="","",IF(ISNUMBER(Eingabe!I89),Eingabe!I89,IFERROR(INDEX(Katalog_Zeit,MATCH($D50,Katalog_Leistung,0)),0)))</f>
        <v/>
      </c>
      <c r="I50" s="27">
        <f>IF($D50="","",ROUND($E50*$G50,2))</f>
        <v/>
      </c>
      <c r="J50" s="27">
        <f>IF($D50="","",ROUND($I50*IF(ISNUMBER(Eingabe!$D$32),Eingabe!$D$32,0),2))</f>
        <v/>
      </c>
      <c r="K50" s="28">
        <f>IF($D50="","",$E50*$H50)</f>
        <v/>
      </c>
      <c r="L50" s="27">
        <f>IF($D50="","",ROUND($K50*IF(ISNUMBER(Eingabe!$D$31),Eingabe!$D$31,0),2))</f>
        <v/>
      </c>
      <c r="M50" s="27">
        <f>IF($D50="","",$I50+$J50+$L50)</f>
        <v/>
      </c>
      <c r="N50" s="27">
        <f>IF($D50="","",ROUND($M50*IF(ISNUMBER(Eingabe!$D$33),Eingabe!$D$33,0),2))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IF($D50="","",IF(ISNA(MATCH($D50,Katalog_Leistung,0)),IF(OR(Eingabe!G89="",NOT(ISNUMBER(Eingabe!H89)),NOT(ISNUMBER(Eingabe!I89))),"! Freie Position: Einheit, Material und Zeit in Spalte G, H und I eintragen",IF(NOT(ISNUMBER(Eingabe!E89)),"!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Leistung",IF(NOT(ISNUMBER(Eingabe!E89)),"! Menge fehlt oder ist keine Zahl",IF($E50&lt;=0,"! Menge muss größer 0 sein",IF(OR(Eingabe!G89&lt;&gt;"",ISNUMBER(Eingabe!H89),ISNUMBER(Eingabe!I89)),"OK - manueller Wert überschreibt Katalog","OK")))))))</f>
        <v/>
      </c>
    </row>
    <row r="51">
      <c r="A51" s="21">
        <f>IF($D51="","",Eingabe!A90)</f>
        <v/>
      </c>
      <c r="B51" s="13">
        <f>IF($D51="","",IF(Eingabe!B90="","",Eingabe!B90))</f>
        <v/>
      </c>
      <c r="C51" s="13">
        <f>IF($D51="","",IF(Eingabe!C90="","",Eingabe!C90))</f>
        <v/>
      </c>
      <c r="D51" s="13">
        <f>IF(Eingabe!D90="","",Eingabe!D90)</f>
        <v/>
      </c>
      <c r="E51" s="26">
        <f>IF($D51="","",IF(ISNUMBER(Eingabe!E90),Eingabe!E90,0))</f>
        <v/>
      </c>
      <c r="F51" s="21">
        <f>IF($D51="","",IF(Eingabe!G90&lt;&gt;"",Eingabe!G90,IFERROR(INDEX(Katalog_Einheit,MATCH($D51,Katalog_Leistung,0)),"?")))</f>
        <v/>
      </c>
      <c r="G51" s="27">
        <f>IF($D51="","",IF(ISNUMBER(Eingabe!H90),Eingabe!H90,IFERROR(INDEX(Katalog_Material,MATCH($D51,Katalog_Leistung,0)),0)*(1+IF(ISNUMBER(Eingabe!$D$39),Eingabe!$D$39,0))))</f>
        <v/>
      </c>
      <c r="H51" s="28">
        <f>IF($D51="","",IF(ISNUMBER(Eingabe!I90),Eingabe!I90,IFERROR(INDEX(Katalog_Zeit,MATCH($D51,Katalog_Leistung,0)),0)))</f>
        <v/>
      </c>
      <c r="I51" s="27">
        <f>IF($D51="","",ROUND($E51*$G51,2))</f>
        <v/>
      </c>
      <c r="J51" s="27">
        <f>IF($D51="","",ROUND($I51*IF(ISNUMBER(Eingabe!$D$32),Eingabe!$D$32,0),2))</f>
        <v/>
      </c>
      <c r="K51" s="28">
        <f>IF($D51="","",$E51*$H51)</f>
        <v/>
      </c>
      <c r="L51" s="27">
        <f>IF($D51="","",ROUND($K51*IF(ISNUMBER(Eingabe!$D$31),Eingabe!$D$31,0),2))</f>
        <v/>
      </c>
      <c r="M51" s="27">
        <f>IF($D51="","",$I51+$J51+$L51)</f>
        <v/>
      </c>
      <c r="N51" s="27">
        <f>IF($D51="","",ROUND($M51*IF(ISNUMBER(Eingabe!$D$33),Eingabe!$D$33,0),2))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IF($D51="","",IF(ISNA(MATCH($D51,Katalog_Leistung,0)),IF(OR(Eingabe!G90="",NOT(ISNUMBER(Eingabe!H90)),NOT(ISNUMBER(Eingabe!I90))),"! Freie Position: Einheit, Material und Zeit in Spalte G, H und I eintragen",IF(NOT(ISNUMBER(Eingabe!E90)),"!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Leistung",IF(NOT(ISNUMBER(Eingabe!E90)),"! Menge fehlt oder ist keine Zahl",IF($E51&lt;=0,"! Menge muss größer 0 sein",IF(OR(Eingabe!G90&lt;&gt;"",ISNUMBER(Eingabe!H90),ISNUMBER(Eingabe!I90)),"OK - manueller Wert überschreibt Katalog","OK")))))))</f>
        <v/>
      </c>
    </row>
    <row r="52">
      <c r="A52" s="21">
        <f>IF($D52="","",Eingabe!A91)</f>
        <v/>
      </c>
      <c r="B52" s="13">
        <f>IF($D52="","",IF(Eingabe!B91="","",Eingabe!B91))</f>
        <v/>
      </c>
      <c r="C52" s="13">
        <f>IF($D52="","",IF(Eingabe!C91="","",Eingabe!C91))</f>
        <v/>
      </c>
      <c r="D52" s="13">
        <f>IF(Eingabe!D91="","",Eingabe!D91)</f>
        <v/>
      </c>
      <c r="E52" s="26">
        <f>IF($D52="","",IF(ISNUMBER(Eingabe!E91),Eingabe!E91,0))</f>
        <v/>
      </c>
      <c r="F52" s="21">
        <f>IF($D52="","",IF(Eingabe!G91&lt;&gt;"",Eingabe!G91,IFERROR(INDEX(Katalog_Einheit,MATCH($D52,Katalog_Leistung,0)),"?")))</f>
        <v/>
      </c>
      <c r="G52" s="27">
        <f>IF($D52="","",IF(ISNUMBER(Eingabe!H91),Eingabe!H91,IFERROR(INDEX(Katalog_Material,MATCH($D52,Katalog_Leistung,0)),0)*(1+IF(ISNUMBER(Eingabe!$D$39),Eingabe!$D$39,0))))</f>
        <v/>
      </c>
      <c r="H52" s="28">
        <f>IF($D52="","",IF(ISNUMBER(Eingabe!I91),Eingabe!I91,IFERROR(INDEX(Katalog_Zeit,MATCH($D52,Katalog_Leistung,0)),0)))</f>
        <v/>
      </c>
      <c r="I52" s="27">
        <f>IF($D52="","",ROUND($E52*$G52,2))</f>
        <v/>
      </c>
      <c r="J52" s="27">
        <f>IF($D52="","",ROUND($I52*IF(ISNUMBER(Eingabe!$D$32),Eingabe!$D$32,0),2))</f>
        <v/>
      </c>
      <c r="K52" s="28">
        <f>IF($D52="","",$E52*$H52)</f>
        <v/>
      </c>
      <c r="L52" s="27">
        <f>IF($D52="","",ROUND($K52*IF(ISNUMBER(Eingabe!$D$31),Eingabe!$D$31,0),2))</f>
        <v/>
      </c>
      <c r="M52" s="27">
        <f>IF($D52="","",$I52+$J52+$L52)</f>
        <v/>
      </c>
      <c r="N52" s="27">
        <f>IF($D52="","",ROUND($M52*IF(ISNUMBER(Eingabe!$D$33),Eingabe!$D$33,0),2))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IF($D52="","",IF(ISNA(MATCH($D52,Katalog_Leistung,0)),IF(OR(Eingabe!G91="",NOT(ISNUMBER(Eingabe!H91)),NOT(ISNUMBER(Eingabe!I91))),"! Freie Position: Einheit, Material und Zeit in Spalte G, H und I eintragen",IF(NOT(ISNUMBER(Eingabe!E91)),"!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Leistung",IF(NOT(ISNUMBER(Eingabe!E91)),"! Menge fehlt oder ist keine Zahl",IF($E52&lt;=0,"! Menge muss größer 0 sein",IF(OR(Eingabe!G91&lt;&gt;"",ISNUMBER(Eingabe!H91),ISNUMBER(Eingabe!I91)),"OK - manueller Wert überschreibt Katalog","OK")))))))</f>
        <v/>
      </c>
    </row>
    <row r="53">
      <c r="A53" s="21">
        <f>IF($D53="","",Eingabe!A92)</f>
        <v/>
      </c>
      <c r="B53" s="13">
        <f>IF($D53="","",IF(Eingabe!B92="","",Eingabe!B92))</f>
        <v/>
      </c>
      <c r="C53" s="13">
        <f>IF($D53="","",IF(Eingabe!C92="","",Eingabe!C92))</f>
        <v/>
      </c>
      <c r="D53" s="13">
        <f>IF(Eingabe!D92="","",Eingabe!D92)</f>
        <v/>
      </c>
      <c r="E53" s="26">
        <f>IF($D53="","",IF(ISNUMBER(Eingabe!E92),Eingabe!E92,0))</f>
        <v/>
      </c>
      <c r="F53" s="21">
        <f>IF($D53="","",IF(Eingabe!G92&lt;&gt;"",Eingabe!G92,IFERROR(INDEX(Katalog_Einheit,MATCH($D53,Katalog_Leistung,0)),"?")))</f>
        <v/>
      </c>
      <c r="G53" s="27">
        <f>IF($D53="","",IF(ISNUMBER(Eingabe!H92),Eingabe!H92,IFERROR(INDEX(Katalog_Material,MATCH($D53,Katalog_Leistung,0)),0)*(1+IF(ISNUMBER(Eingabe!$D$39),Eingabe!$D$39,0))))</f>
        <v/>
      </c>
      <c r="H53" s="28">
        <f>IF($D53="","",IF(ISNUMBER(Eingabe!I92),Eingabe!I92,IFERROR(INDEX(Katalog_Zeit,MATCH($D53,Katalog_Leistung,0)),0)))</f>
        <v/>
      </c>
      <c r="I53" s="27">
        <f>IF($D53="","",ROUND($E53*$G53,2))</f>
        <v/>
      </c>
      <c r="J53" s="27">
        <f>IF($D53="","",ROUND($I53*IF(ISNUMBER(Eingabe!$D$32),Eingabe!$D$32,0),2))</f>
        <v/>
      </c>
      <c r="K53" s="28">
        <f>IF($D53="","",$E53*$H53)</f>
        <v/>
      </c>
      <c r="L53" s="27">
        <f>IF($D53="","",ROUND($K53*IF(ISNUMBER(Eingabe!$D$31),Eingabe!$D$31,0),2))</f>
        <v/>
      </c>
      <c r="M53" s="27">
        <f>IF($D53="","",$I53+$J53+$L53)</f>
        <v/>
      </c>
      <c r="N53" s="27">
        <f>IF($D53="","",ROUND($M53*IF(ISNUMBER(Eingabe!$D$33),Eingabe!$D$33,0),2))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IF($D53="","",IF(ISNA(MATCH($D53,Katalog_Leistung,0)),IF(OR(Eingabe!G92="",NOT(ISNUMBER(Eingabe!H92)),NOT(ISNUMBER(Eingabe!I92))),"! Freie Position: Einheit, Material und Zeit in Spalte G, H und I eintragen",IF(NOT(ISNUMBER(Eingabe!E92)),"!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Leistung",IF(NOT(ISNUMBER(Eingabe!E92)),"! Menge fehlt oder ist keine Zahl",IF($E53&lt;=0,"! Menge muss größer 0 sein",IF(OR(Eingabe!G92&lt;&gt;"",ISNUMBER(Eingabe!H92),ISNUMBER(Eingabe!I92)),"OK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ROUND(E63*IF(ISNUMBER(Eingabe!$D$34),Eingabe!$D$34,0),2)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ROUND(E67*IF(ISNUMBER(Eingabe!$D$36),Eingabe!$D$36,0),2)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SUMPRODUCT(--(LEFT(Eingabe!$F$26:$F$28,1)="!"))+SUMPRODUCT(--(LEFT(Eingabe!$F$31:$F$39,1)="!"))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IF(IFERROR(INDEX(Listen!$J$2:$J$4,MATCH(Eingabe!$D$27,Steuerfaelle,0)),1)=1,IF(ISNUMBER(Eingabe!$D$35),Eingabe!$D$35,0),0)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IF(Eingabe!$D$28="Ja",ROUND(IFERROR(E65*E60/E61,0)*(1+E79),2),0)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23+Berechnung!$E$71+$N$27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IFERROR(MATCH(Eingabe!$D$26,Dokumentarten,0),1)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IFERROR(MATCH(Eingabe!$D$27,Steuerfaelle,0),1)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"&amp;ROUND(N(Eingabe!$D$34)*100,2)&amp;" %"</f>
        <v/>
      </c>
      <c r="P3" s="43">
        <f>-Berechnung!$E$64</f>
        <v/>
      </c>
      <c r="Q3" s="43">
        <f>$R$8</f>
        <v/>
      </c>
      <c r="R3" s="43">
        <f>INDEX(Listen!$I$2:$I$4,$R$2)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INDEX(Listen!$K$2:$K$4,$R$2)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IF(AND(N(Eingabe!$D$36)&gt;0,N(Eingabe!$D$37)&gt;0),1,0)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INDEX(Listen!$M$2:$M$4,$R$2)&amp;""</f>
        <v/>
      </c>
      <c r="P8" s="43">
        <f>""</f>
        <v/>
      </c>
      <c r="Q8" s="43">
        <f>IF($O$8&lt;&gt;"",1,0)</f>
        <v/>
      </c>
      <c r="R8" s="43">
        <f>IF(N(Eingabe!$D$34)&gt;0,1,0)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INDEX(Listen!$N$2:$N$4,$R$2)&amp;""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IF(Eingabe!$D$28="Ja",1,0)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"&amp;N(Eingabe!$D$37)&amp;" Tagen abzüglich "&amp;ROUND(N(Eingabe!$D$36)*100,2)&amp;" % Skonto,","Zahlungsbedingungen: "&amp;IF(N(Eingabe!$D$38)=0,"sofort","innerhalb von "&amp;N(Eingabe!$D$38)&amp;" Tagen")&amp;" ohne Abzug.")</f>
        <v/>
      </c>
      <c r="P11" s="43">
        <f>""</f>
        <v/>
      </c>
      <c r="Q11" s="43" t="n">
        <v>1</v>
      </c>
      <c r="R11" s="43" t="n">
        <v>35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"&amp;N(Eingabe!$D$38)&amp;"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$Q$14+$S$14</f>
        <v/>
      </c>
      <c r="N14" s="43">
        <f>N13+M14</f>
        <v/>
      </c>
      <c r="O14" s="43">
        <f>"Alle Preise in Euro. Ausführung nach DIN 1053, DIN EN 1996, DIN 18330, DIN 18331 und"</f>
        <v/>
      </c>
      <c r="P14" s="43">
        <f>""</f>
        <v/>
      </c>
      <c r="Q14" s="43" t="n">
        <v>1</v>
      </c>
      <c r="R14" s="43" t="n"/>
      <c r="S14" s="43">
        <f>IF($V$14&lt;2,0,IF(AND($U$14+$V$14-1&gt;$R$11-2,$U$14&lt;=$R$11+2),$R$11+3-$U$14,IF(AND($U$14+$V$14-1&gt;$R$11+$R$12-2,$U$14&lt;=$R$11+$R$12+2),$R$11+$R$12+3-$U$14,0)))</f>
        <v/>
      </c>
      <c r="T14" s="43" t="n"/>
      <c r="U14" s="43">
        <f>Berechnung!$E$71+$N$13+1</f>
        <v/>
      </c>
      <c r="V14" s="43">
        <f>SUM($Q$14:$Q$15)</f>
        <v/>
      </c>
      <c r="W14" s="43" t="n">
        <v>3</v>
      </c>
    </row>
    <row r="15" ht="16" customHeight="1">
      <c r="A15" s="29">
        <f>INDEX(Listen!$A$2:$A$4,$R$1)&amp;" Maurer- und Betonbauarbeiten — TESTVERSION"</f>
        <v/>
      </c>
      <c r="L15" s="43" t="n">
        <v>15</v>
      </c>
      <c r="M15" s="43">
        <f>$Q$15</f>
        <v/>
      </c>
      <c r="N15" s="43">
        <f>N14+M15</f>
        <v/>
      </c>
      <c r="O15" s="43">
        <f>"VOB/B."</f>
        <v/>
      </c>
      <c r="P15" s="43">
        <f>""</f>
        <v/>
      </c>
      <c r="Q15" s="43" t="n">
        <v>1</v>
      </c>
      <c r="R15" s="43" t="n"/>
      <c r="S15" s="43" t="n"/>
      <c r="T15" s="43" t="n"/>
      <c r="U15" s="43" t="n"/>
      <c r="V15" s="43" t="n"/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$Q$16+$S$16</f>
        <v/>
      </c>
      <c r="N16" s="43">
        <f>N15+M16</f>
        <v/>
      </c>
      <c r="O16" s="43">
        <f>"Nicht enthalten sind Baugrundgutachten, Vermessung, Wasserhaltung und Entsorgung"</f>
        <v/>
      </c>
      <c r="P16" s="43">
        <f>""</f>
        <v/>
      </c>
      <c r="Q16" s="43" t="n">
        <v>1</v>
      </c>
      <c r="R16" s="43" t="n"/>
      <c r="S16" s="43">
        <f>IF($V$16&lt;2,0,IF(AND($U$16+$V$16-1&gt;$R$11-2,$U$16&lt;=$R$11+2),$R$11+3-$U$16,IF(AND($U$16+$V$16-1&gt;$R$11+$R$12-2,$U$16&lt;=$R$11+$R$12+2),$R$11+$R$12+3-$U$16,0)))</f>
        <v/>
      </c>
      <c r="T16" s="43" t="n"/>
      <c r="U16" s="43">
        <f>Berechnung!$E$71+$N$15+1</f>
        <v/>
      </c>
      <c r="V16" s="43">
        <f>SUM($Q$16:$Q$17)</f>
        <v/>
      </c>
      <c r="W16" s="43" t="n">
        <v>4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</f>
        <v/>
      </c>
      <c r="N17" s="43">
        <f>N16+M17</f>
        <v/>
      </c>
      <c r="O17" s="43">
        <f>"belasteten Aushubs."</f>
        <v/>
      </c>
      <c r="P17" s="43">
        <f>""</f>
        <v/>
      </c>
      <c r="Q17" s="43" t="n">
        <v>1</v>
      </c>
      <c r="R17" s="43" t="n"/>
      <c r="S17" s="43" t="n"/>
      <c r="T17" s="43" t="n"/>
      <c r="U17" s="43" t="n"/>
      <c r="V17" s="43" t="n"/>
      <c r="W17" s="43" t="n">
        <v>4</v>
      </c>
    </row>
    <row r="18" ht="15" customHeight="1">
      <c r="A18" s="31" t="inlineStr">
        <is>
          <t>Bauweise / Wandaufbau:</t>
        </is>
      </c>
      <c r="C18" s="31">
        <f>IF(Eingabe!D22="","",Eingabe!D22)</f>
        <v/>
      </c>
      <c r="L18" s="43" t="n">
        <v>18</v>
      </c>
      <c r="M18" s="43">
        <f>$Q$18+$S$18</f>
        <v/>
      </c>
      <c r="N18" s="43">
        <f>N17+M18</f>
        <v/>
      </c>
      <c r="O18" s="43">
        <f>"Betongüte und Bewehrung nach Angabe des Tragwerksplaners. Statik ist bauseits zu"</f>
        <v/>
      </c>
      <c r="P18" s="43">
        <f>""</f>
        <v/>
      </c>
      <c r="Q18" s="43" t="n">
        <v>1</v>
      </c>
      <c r="R18" s="43" t="n"/>
      <c r="S18" s="43">
        <f>IF($V$18&lt;2,0,IF(AND($U$18+$V$18-1&gt;$R$11-2,$U$18&lt;=$R$11+2),$R$11+3-$U$18,IF(AND($U$18+$V$18-1&gt;$R$11+$R$12-2,$U$18&lt;=$R$11+$R$12+2),$R$11+$R$12+3-$U$18,0)))</f>
        <v/>
      </c>
      <c r="T18" s="43" t="n"/>
      <c r="U18" s="43">
        <f>Berechnung!$E$71+$N$17+1</f>
        <v/>
      </c>
      <c r="V18" s="43">
        <f>SUM($Q$18:$Q$19)</f>
        <v/>
      </c>
      <c r="W18" s="43" t="n">
        <v>5</v>
      </c>
    </row>
    <row r="19" ht="15" customHeight="1">
      <c r="A19" s="31" t="inlineStr">
        <is>
          <t>Bruttogrundfläche (m²):</t>
        </is>
      </c>
      <c r="C19" s="31">
        <f>IF(Eingabe!D23="","",Eingabe!D23)</f>
        <v/>
      </c>
      <c r="L19" s="43" t="n">
        <v>19</v>
      </c>
      <c r="M19" s="43">
        <f>$Q$19</f>
        <v/>
      </c>
      <c r="N19" s="43">
        <f>N18+M19</f>
        <v/>
      </c>
      <c r="O19" s="43">
        <f>"stellen."</f>
        <v/>
      </c>
      <c r="P19" s="43">
        <f>""</f>
        <v/>
      </c>
      <c r="Q19" s="43" t="n">
        <v>1</v>
      </c>
      <c r="R19" s="43" t="n"/>
      <c r="S19" s="43" t="n"/>
      <c r="T19" s="43" t="n"/>
      <c r="U19" s="43" t="n"/>
      <c r="V19" s="43" t="n"/>
      <c r="W19" s="43" t="n">
        <v>5</v>
      </c>
    </row>
    <row r="20" ht="15" customHeight="1">
      <c r="L20" s="43" t="n">
        <v>20</v>
      </c>
      <c r="M20" s="43">
        <f>$Q$20+$S$20</f>
        <v/>
      </c>
      <c r="N20" s="43">
        <f>N19+M20</f>
        <v/>
      </c>
      <c r="O20" s="43">
        <f>"Nebenabreden und Änderungen bedürfen der Schriftform. Es gelten unsere allgemeinen"</f>
        <v/>
      </c>
      <c r="P20" s="43">
        <f>""</f>
        <v/>
      </c>
      <c r="Q20" s="43" t="n">
        <v>1</v>
      </c>
      <c r="R20" s="43" t="n"/>
      <c r="S20" s="43">
        <f>IF($V$20&lt;2,0,IF(AND($U$20+$V$20-1&gt;$R$11-2,$U$20&lt;=$R$11+2),$R$11+3-$U$20,IF(AND($U$20+$V$20-1&gt;$R$11+$R$12-2,$U$20&lt;=$R$11+$R$12+2),$R$11+$R$12+3-$U$20,0)))</f>
        <v/>
      </c>
      <c r="T20" s="43" t="n"/>
      <c r="U20" s="43">
        <f>Berechnung!$E$71+$N$19+1</f>
        <v/>
      </c>
      <c r="V20" s="43">
        <f>SUM($Q$20:$Q$21)</f>
        <v/>
      </c>
      <c r="W20" s="43" t="n">
        <v>6</v>
      </c>
    </row>
    <row r="21" ht="28" customHeight="1">
      <c r="A21" s="49">
        <f>INDEX(Listen!$C$2:$C$4,$R$1)&amp;""&amp;"  Dieses Angebot wurde mit der kostenlosen Testversion erstellt und ist nicht für den Versand an Kunden bestimmt."</f>
        <v/>
      </c>
      <c r="L21" s="43" t="n">
        <v>21</v>
      </c>
      <c r="M21" s="43">
        <f>$Q$21</f>
        <v/>
      </c>
      <c r="N21" s="43">
        <f>N20+M21</f>
        <v/>
      </c>
      <c r="O21" s="43">
        <f>"Geschäftsbedingungen."</f>
        <v/>
      </c>
      <c r="P21" s="43">
        <f>""</f>
        <v/>
      </c>
      <c r="Q21" s="43" t="n">
        <v>1</v>
      </c>
      <c r="R21" s="43" t="n"/>
      <c r="S21" s="43" t="n"/>
      <c r="T21" s="43" t="n"/>
      <c r="U21" s="43" t="n"/>
      <c r="V21" s="43" t="n"/>
      <c r="W21" s="43" t="n">
        <v>6</v>
      </c>
    </row>
    <row r="22" ht="20" customHeight="1">
      <c r="A22" s="50">
        <f>IF(Berechnung!$E$77=0,"","ACHTUNG - NICHT VERSENDEN: "&amp;Berechnung!$E$75&amp;" Position(en) mit Fehlerhinweis, "&amp;Berechnung!$E$76&amp;" ungültige Einstellung(en) - siehe Blatt Berechnung.")</f>
        <v/>
      </c>
      <c r="L22" s="43" t="n">
        <v>22</v>
      </c>
      <c r="M22" s="43">
        <f>$Q$22+$S$22</f>
        <v/>
      </c>
      <c r="N22" s="43">
        <f>N21+M22</f>
        <v/>
      </c>
      <c r="O22" s="43">
        <f>""</f>
        <v/>
      </c>
      <c r="P22" s="43">
        <f>""</f>
        <v/>
      </c>
      <c r="Q22" s="43" t="n">
        <v>1</v>
      </c>
      <c r="R22" s="43" t="n"/>
      <c r="S22" s="43">
        <f>IF($V$22&lt;2,0,IF(AND($U$22+$V$22-1&gt;$R$11-2,$U$22&lt;=$R$11+2),$R$11+3-$U$22,IF(AND($U$22+$V$22-1&gt;$R$11+$R$12-2,$U$22&lt;=$R$11+$R$12+2),$R$11+$R$12+3-$U$22,0)))</f>
        <v/>
      </c>
      <c r="T22" s="43" t="n"/>
      <c r="U22" s="43">
        <f>Berechnung!$E$71+$N$21+SUM($Q$22:$Q$22)+1</f>
        <v/>
      </c>
      <c r="V22" s="43">
        <f>SUM($Q$23:$Q$27)</f>
        <v/>
      </c>
      <c r="W22" s="43" t="n">
        <v>0</v>
      </c>
    </row>
    <row r="23" ht="24" customHeight="1">
      <c r="A23" s="20" t="inlineStr">
        <is>
          <t>Pos.</t>
        </is>
      </c>
      <c r="B23" s="20" t="inlineStr">
        <is>
          <t>Bezeichnung der Leistung</t>
        </is>
      </c>
      <c r="C23" s="20" t="inlineStr">
        <is>
          <t>Menge</t>
        </is>
      </c>
      <c r="D23" s="20" t="inlineStr">
        <is>
          <t>Einheit</t>
        </is>
      </c>
      <c r="E23" s="20" t="inlineStr">
        <is>
          <t>Einzelpreis</t>
        </is>
      </c>
      <c r="F23" s="20" t="inlineStr">
        <is>
          <t>Gesamtpreis</t>
        </is>
      </c>
      <c r="L23" s="43" t="n">
        <v>23</v>
      </c>
      <c r="M23" s="43">
        <f>$Q$23</f>
        <v/>
      </c>
      <c r="N23" s="43">
        <f>N22+M23</f>
        <v/>
      </c>
      <c r="O23" s="43">
        <f>"Mit freundlichen Grüßen"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7</v>
      </c>
    </row>
    <row r="24" ht="15" customHeight="1">
      <c r="A24" s="51">
        <f>IF($H24&gt;0,1,"")</f>
        <v/>
      </c>
      <c r="B24" s="52">
        <f>IF($H24&gt;0,INDEX(Berechnung!$D$4:$D$53,$H24)&amp;IF(INDEX(Eingabe!$J$43:$J$92,$H24)="",""," – "&amp;INDEX(Eingabe!$J$43:$J$92,$H24))&amp;IF(OR(INDEX(Berechnung!$B$4:$B$53,$H24)="",INDEX(Berechnung!$B$4:$B$53,$H24)=INDEX(Bereiche,1)),""," ("&amp;INDEX(Berechnung!$B$4:$B$53,$H24)&amp;")"),IF($J24&gt;0,INDEX($O$1:$O$27,$J24),""))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IF($H24&gt;0,INDEX(Berechnung!$O$4:$O$53,$H24),IF($J24&gt;0,INDEX($P$1:$P$27,$J24),""))</f>
        <v/>
      </c>
      <c r="H24" s="43">
        <f>IFERROR(MATCH(1,Berechnung!$A$4:$A$53,0),0)</f>
        <v/>
      </c>
      <c r="I24" s="43">
        <f>1-Berechnung!$E$71</f>
        <v/>
      </c>
      <c r="J24" s="43">
        <f>IF($I24&gt;=1,IFERROR(MATCH($I24,$N$1:$N$27,0),0),0)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7</v>
      </c>
    </row>
    <row r="25" ht="15" customHeight="1">
      <c r="A25" s="51">
        <f>IF($H25&gt;0,2,"")</f>
        <v/>
      </c>
      <c r="B25" s="52">
        <f>IF($H25&gt;0,INDEX(Berechnung!$D$4:$D$53,$H25)&amp;IF(INDEX(Eingabe!$J$43:$J$92,$H25)="",""," – "&amp;INDEX(Eingabe!$J$43:$J$92,$H25))&amp;IF(OR(INDEX(Berechnung!$B$4:$B$53,$H25)="",INDEX(Berechnung!$B$4:$B$53,$H25)=INDEX(Bereiche,1)),""," ("&amp;INDEX(Berechnung!$B$4:$B$53,$H25)&amp;")"),IF($J25&gt;0,INDEX($O$1:$O$27,$J25),""))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IF($H25&gt;0,INDEX(Berechnung!$O$4:$O$53,$H25),IF($J25&gt;0,INDEX($P$1:$P$27,$J25),""))</f>
        <v/>
      </c>
      <c r="H25" s="43">
        <f>IFERROR(MATCH(2,Berechnung!$A$4:$A$53,0),0)</f>
        <v/>
      </c>
      <c r="I25" s="43">
        <f>2-Berechnung!$E$71</f>
        <v/>
      </c>
      <c r="J25" s="43">
        <f>IF($I25&gt;=1,IFERROR(MATCH($I25,$N$1:$N$27,0),0),0)</f>
        <v/>
      </c>
      <c r="L25" s="43" t="n">
        <v>25</v>
      </c>
      <c r="M25" s="43">
        <f>$Q$25</f>
        <v/>
      </c>
      <c r="N25" s="43">
        <f>N24+M25</f>
        <v/>
      </c>
      <c r="O25" s="43">
        <f>""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7</v>
      </c>
    </row>
    <row r="26" ht="15" customHeight="1">
      <c r="A26" s="51">
        <f>IF($H26&gt;0,3,"")</f>
        <v/>
      </c>
      <c r="B26" s="52">
        <f>IF($H26&gt;0,INDEX(Berechnung!$D$4:$D$53,$H26)&amp;IF(INDEX(Eingabe!$J$43:$J$92,$H26)="",""," – "&amp;INDEX(Eingabe!$J$43:$J$92,$H26))&amp;IF(OR(INDEX(Berechnung!$B$4:$B$53,$H26)="",INDEX(Berechnung!$B$4:$B$53,$H26)=INDEX(Bereiche,1)),""," ("&amp;INDEX(Berechnung!$B$4:$B$53,$H26)&amp;")"),IF($J26&gt;0,INDEX($O$1:$O$27,$J26),""))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IF($H26&gt;0,INDEX(Berechnung!$O$4:$O$53,$H26),IF($J26&gt;0,INDEX($P$1:$P$27,$J26),""))</f>
        <v/>
      </c>
      <c r="H26" s="43">
        <f>IFERROR(MATCH(3,Berechnung!$A$4:$A$53,0),0)</f>
        <v/>
      </c>
      <c r="I26" s="43">
        <f>3-Berechnung!$E$71</f>
        <v/>
      </c>
      <c r="J26" s="43">
        <f>IF($I26&gt;=1,IFERROR(MATCH($I26,$N$1:$N$27,0),0),0)</f>
        <v/>
      </c>
      <c r="L26" s="43" t="n">
        <v>26</v>
      </c>
      <c r="M26" s="43">
        <f>$Q$26</f>
        <v/>
      </c>
      <c r="N26" s="43">
        <f>N25+M26</f>
        <v/>
      </c>
      <c r="O26" s="43">
        <f>IF(Eingabe!$D$20="","",Eingabe!$D$20)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7</v>
      </c>
    </row>
    <row r="27" ht="15" customHeight="1">
      <c r="A27" s="51">
        <f>IF($H27&gt;0,4,"")</f>
        <v/>
      </c>
      <c r="B27" s="52">
        <f>IF($H27&gt;0,INDEX(Berechnung!$D$4:$D$53,$H27)&amp;IF(INDEX(Eingabe!$J$43:$J$92,$H27)="",""," – "&amp;INDEX(Eingabe!$J$43:$J$92,$H27))&amp;IF(OR(INDEX(Berechnung!$B$4:$B$53,$H27)="",INDEX(Berechnung!$B$4:$B$53,$H27)=INDEX(Bereiche,1)),""," ("&amp;INDEX(Berechnung!$B$4:$B$53,$H27)&amp;")"),IF($J27&gt;0,INDEX($O$1:$O$27,$J27),""))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IF($H27&gt;0,INDEX(Berechnung!$O$4:$O$53,$H27),IF($J27&gt;0,INDEX($P$1:$P$27,$J27),""))</f>
        <v/>
      </c>
      <c r="H27" s="43">
        <f>IFERROR(MATCH(4,Berechnung!$A$4:$A$53,0),0)</f>
        <v/>
      </c>
      <c r="I27" s="43">
        <f>4-Berechnung!$E$71</f>
        <v/>
      </c>
      <c r="J27" s="43">
        <f>IF($I27&gt;=1,IFERROR(MATCH($I27,$N$1:$N$27,0),0),0)</f>
        <v/>
      </c>
      <c r="L27" s="43" t="n">
        <v>27</v>
      </c>
      <c r="M27" s="43">
        <f>$Q$27</f>
        <v/>
      </c>
      <c r="N27" s="43">
        <f>N26+M27</f>
        <v/>
      </c>
      <c r="O27" s="43">
        <f>"Unterschrift / Stempel"</f>
        <v/>
      </c>
      <c r="P27" s="43">
        <f>""</f>
        <v/>
      </c>
      <c r="Q27" s="43" t="n">
        <v>1</v>
      </c>
      <c r="R27" s="43" t="n"/>
      <c r="S27" s="43" t="n"/>
      <c r="T27" s="43" t="n"/>
      <c r="U27" s="43" t="n"/>
      <c r="V27" s="43" t="n"/>
      <c r="W27" s="43" t="n">
        <v>7</v>
      </c>
    </row>
    <row r="28" ht="15" customHeight="1">
      <c r="A28" s="51">
        <f>IF($H28&gt;0,5,"")</f>
        <v/>
      </c>
      <c r="B28" s="52">
        <f>IF($H28&gt;0,INDEX(Berechnung!$D$4:$D$53,$H28)&amp;IF(INDEX(Eingabe!$J$43:$J$92,$H28)="",""," – "&amp;INDEX(Eingabe!$J$43:$J$92,$H28))&amp;IF(OR(INDEX(Berechnung!$B$4:$B$53,$H28)="",INDEX(Berechnung!$B$4:$B$53,$H28)=INDEX(Bereiche,1)),""," ("&amp;INDEX(Berechnung!$B$4:$B$53,$H28)&amp;")"),IF($J28&gt;0,INDEX($O$1:$O$27,$J28),""))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IF($H28&gt;0,INDEX(Berechnung!$O$4:$O$53,$H28),IF($J28&gt;0,INDEX($P$1:$P$27,$J28),""))</f>
        <v/>
      </c>
      <c r="H28" s="43">
        <f>IFERROR(MATCH(5,Berechnung!$A$4:$A$53,0),0)</f>
        <v/>
      </c>
      <c r="I28" s="43">
        <f>5-Berechnung!$E$71</f>
        <v/>
      </c>
      <c r="J28" s="43">
        <f>IF($I28&gt;=1,IFERROR(MATCH($I28,$N$1:$N$27,0),0),0)</f>
        <v/>
      </c>
    </row>
    <row r="29" ht="15" customHeight="1">
      <c r="A29" s="51">
        <f>IF($H29&gt;0,6,"")</f>
        <v/>
      </c>
      <c r="B29" s="52">
        <f>IF($H29&gt;0,INDEX(Berechnung!$D$4:$D$53,$H29)&amp;IF(INDEX(Eingabe!$J$43:$J$92,$H29)="",""," – "&amp;INDEX(Eingabe!$J$43:$J$92,$H29))&amp;IF(OR(INDEX(Berechnung!$B$4:$B$53,$H29)="",INDEX(Berechnung!$B$4:$B$53,$H29)=INDEX(Bereiche,1)),""," ("&amp;INDEX(Berechnung!$B$4:$B$53,$H29)&amp;")"),IF($J29&gt;0,INDEX($O$1:$O$27,$J29),""))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IF($H29&gt;0,INDEX(Berechnung!$O$4:$O$53,$H29),IF($J29&gt;0,INDEX($P$1:$P$27,$J29),""))</f>
        <v/>
      </c>
      <c r="H29" s="43">
        <f>IFERROR(MATCH(6,Berechnung!$A$4:$A$53,0),0)</f>
        <v/>
      </c>
      <c r="I29" s="43">
        <f>6-Berechnung!$E$71</f>
        <v/>
      </c>
      <c r="J29" s="43">
        <f>IF($I29&gt;=1,IFERROR(MATCH($I29,$N$1:$N$27,0),0),0)</f>
        <v/>
      </c>
    </row>
    <row r="30" ht="15" customHeight="1">
      <c r="A30" s="51">
        <f>IF($H30&gt;0,7,"")</f>
        <v/>
      </c>
      <c r="B30" s="52">
        <f>IF($H30&gt;0,INDEX(Berechnung!$D$4:$D$53,$H30)&amp;IF(INDEX(Eingabe!$J$43:$J$92,$H30)="",""," – "&amp;INDEX(Eingabe!$J$43:$J$92,$H30))&amp;IF(OR(INDEX(Berechnung!$B$4:$B$53,$H30)="",INDEX(Berechnung!$B$4:$B$53,$H30)=INDEX(Bereiche,1)),""," ("&amp;INDEX(Berechnung!$B$4:$B$53,$H30)&amp;")"),IF($J30&gt;0,INDEX($O$1:$O$27,$J30),""))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IF($H30&gt;0,INDEX(Berechnung!$O$4:$O$53,$H30),IF($J30&gt;0,INDEX($P$1:$P$27,$J30),""))</f>
        <v/>
      </c>
      <c r="H30" s="43">
        <f>IFERROR(MATCH(7,Berechnung!$A$4:$A$53,0),0)</f>
        <v/>
      </c>
      <c r="I30" s="43">
        <f>7-Berechnung!$E$71</f>
        <v/>
      </c>
      <c r="J30" s="43">
        <f>IF($I30&gt;=1,IFERROR(MATCH($I30,$N$1:$N$27,0),0),0)</f>
        <v/>
      </c>
    </row>
    <row r="31" ht="15" customHeight="1">
      <c r="A31" s="51">
        <f>IF($H31&gt;0,8,"")</f>
        <v/>
      </c>
      <c r="B31" s="52">
        <f>IF($H31&gt;0,INDEX(Berechnung!$D$4:$D$53,$H31)&amp;IF(INDEX(Eingabe!$J$43:$J$92,$H31)="",""," – "&amp;INDEX(Eingabe!$J$43:$J$92,$H31))&amp;IF(OR(INDEX(Berechnung!$B$4:$B$53,$H31)="",INDEX(Berechnung!$B$4:$B$53,$H31)=INDEX(Bereiche,1)),""," ("&amp;INDEX(Berechnung!$B$4:$B$53,$H31)&amp;")"),IF($J31&gt;0,INDEX($O$1:$O$27,$J31),""))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IF($H31&gt;0,INDEX(Berechnung!$O$4:$O$53,$H31),IF($J31&gt;0,INDEX($P$1:$P$27,$J31),""))</f>
        <v/>
      </c>
      <c r="H31" s="43">
        <f>IFERROR(MATCH(8,Berechnung!$A$4:$A$53,0),0)</f>
        <v/>
      </c>
      <c r="I31" s="43">
        <f>8-Berechnung!$E$71</f>
        <v/>
      </c>
      <c r="J31" s="43">
        <f>IF($I31&gt;=1,IFERROR(MATCH($I31,$N$1:$N$27,0),0),0)</f>
        <v/>
      </c>
    </row>
    <row r="32" ht="15" customHeight="1">
      <c r="A32" s="51">
        <f>IF($H32&gt;0,9,"")</f>
        <v/>
      </c>
      <c r="B32" s="52">
        <f>IF($H32&gt;0,INDEX(Berechnung!$D$4:$D$53,$H32)&amp;IF(INDEX(Eingabe!$J$43:$J$92,$H32)="",""," – "&amp;INDEX(Eingabe!$J$43:$J$92,$H32))&amp;IF(OR(INDEX(Berechnung!$B$4:$B$53,$H32)="",INDEX(Berechnung!$B$4:$B$53,$H32)=INDEX(Bereiche,1)),""," ("&amp;INDEX(Berechnung!$B$4:$B$53,$H32)&amp;")"),IF($J32&gt;0,INDEX($O$1:$O$27,$J32),""))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IF($H32&gt;0,INDEX(Berechnung!$O$4:$O$53,$H32),IF($J32&gt;0,INDEX($P$1:$P$27,$J32),""))</f>
        <v/>
      </c>
      <c r="H32" s="43">
        <f>IFERROR(MATCH(9,Berechnung!$A$4:$A$53,0),0)</f>
        <v/>
      </c>
      <c r="I32" s="43">
        <f>9-Berechnung!$E$71</f>
        <v/>
      </c>
      <c r="J32" s="43">
        <f>IF($I32&gt;=1,IFERROR(MATCH($I32,$N$1:$N$27,0),0),0)</f>
        <v/>
      </c>
    </row>
    <row r="33" ht="15" customHeight="1">
      <c r="A33" s="51">
        <f>IF($H33&gt;0,10,"")</f>
        <v/>
      </c>
      <c r="B33" s="52">
        <f>IF($H33&gt;0,INDEX(Berechnung!$D$4:$D$53,$H33)&amp;IF(INDEX(Eingabe!$J$43:$J$92,$H33)="",""," – "&amp;INDEX(Eingabe!$J$43:$J$92,$H33))&amp;IF(OR(INDEX(Berechnung!$B$4:$B$53,$H33)="",INDEX(Berechnung!$B$4:$B$53,$H33)=INDEX(Bereiche,1)),""," ("&amp;INDEX(Berechnung!$B$4:$B$53,$H33)&amp;")"),IF($J33&gt;0,INDEX($O$1:$O$27,$J33),""))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IF($H33&gt;0,INDEX(Berechnung!$O$4:$O$53,$H33),IF($J33&gt;0,INDEX($P$1:$P$27,$J33),""))</f>
        <v/>
      </c>
      <c r="H33" s="43">
        <f>IFERROR(MATCH(10,Berechnung!$A$4:$A$53,0),0)</f>
        <v/>
      </c>
      <c r="I33" s="43">
        <f>10-Berechnung!$E$71</f>
        <v/>
      </c>
      <c r="J33" s="43">
        <f>IF($I33&gt;=1,IFERROR(MATCH($I33,$N$1:$N$27,0),0),0)</f>
        <v/>
      </c>
    </row>
    <row r="34" ht="15" customHeight="1">
      <c r="A34" s="51">
        <f>IF($H34&gt;0,11,"")</f>
        <v/>
      </c>
      <c r="B34" s="52">
        <f>IF($H34&gt;0,INDEX(Berechnung!$D$4:$D$53,$H34)&amp;IF(INDEX(Eingabe!$J$43:$J$92,$H34)="",""," – "&amp;INDEX(Eingabe!$J$43:$J$92,$H34))&amp;IF(OR(INDEX(Berechnung!$B$4:$B$53,$H34)="",INDEX(Berechnung!$B$4:$B$53,$H34)=INDEX(Bereiche,1)),""," ("&amp;INDEX(Berechnung!$B$4:$B$53,$H34)&amp;")"),IF($J34&gt;0,INDEX($O$1:$O$27,$J34),""))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IF($H34&gt;0,INDEX(Berechnung!$O$4:$O$53,$H34),IF($J34&gt;0,INDEX($P$1:$P$27,$J34),""))</f>
        <v/>
      </c>
      <c r="H34" s="43">
        <f>IFERROR(MATCH(11,Berechnung!$A$4:$A$53,0),0)</f>
        <v/>
      </c>
      <c r="I34" s="43">
        <f>11-Berechnung!$E$71</f>
        <v/>
      </c>
      <c r="J34" s="43">
        <f>IF($I34&gt;=1,IFERROR(MATCH($I34,$N$1:$N$27,0),0),0)</f>
        <v/>
      </c>
    </row>
    <row r="35" ht="15" customHeight="1">
      <c r="A35" s="51">
        <f>IF($H35&gt;0,12,"")</f>
        <v/>
      </c>
      <c r="B35" s="52">
        <f>IF($H35&gt;0,INDEX(Berechnung!$D$4:$D$53,$H35)&amp;IF(INDEX(Eingabe!$J$43:$J$92,$H35)="",""," – "&amp;INDEX(Eingabe!$J$43:$J$92,$H35))&amp;IF(OR(INDEX(Berechnung!$B$4:$B$53,$H35)="",INDEX(Berechnung!$B$4:$B$53,$H35)=INDEX(Bereiche,1)),""," ("&amp;INDEX(Berechnung!$B$4:$B$53,$H35)&amp;")"),IF($J35&gt;0,INDEX($O$1:$O$27,$J35),""))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IF($H35&gt;0,INDEX(Berechnung!$O$4:$O$53,$H35),IF($J35&gt;0,INDEX($P$1:$P$27,$J35),""))</f>
        <v/>
      </c>
      <c r="H35" s="43">
        <f>IFERROR(MATCH(12,Berechnung!$A$4:$A$53,0),0)</f>
        <v/>
      </c>
      <c r="I35" s="43">
        <f>12-Berechnung!$E$71</f>
        <v/>
      </c>
      <c r="J35" s="43">
        <f>IF($I35&gt;=1,IFERROR(MATCH($I35,$N$1:$N$27,0),0),0)</f>
        <v/>
      </c>
    </row>
    <row r="36" ht="15" customHeight="1">
      <c r="A36" s="51">
        <f>IF($H36&gt;0,13,"")</f>
        <v/>
      </c>
      <c r="B36" s="52">
        <f>IF($H36&gt;0,INDEX(Berechnung!$D$4:$D$53,$H36)&amp;IF(INDEX(Eingabe!$J$43:$J$92,$H36)="",""," – "&amp;INDEX(Eingabe!$J$43:$J$92,$H36))&amp;IF(OR(INDEX(Berechnung!$B$4:$B$53,$H36)="",INDEX(Berechnung!$B$4:$B$53,$H36)=INDEX(Bereiche,1)),""," ("&amp;INDEX(Berechnung!$B$4:$B$53,$H36)&amp;")"),IF($J36&gt;0,INDEX($O$1:$O$27,$J36),""))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IF($H36&gt;0,INDEX(Berechnung!$O$4:$O$53,$H36),IF($J36&gt;0,INDEX($P$1:$P$27,$J36),""))</f>
        <v/>
      </c>
      <c r="H36" s="43">
        <f>IFERROR(MATCH(13,Berechnung!$A$4:$A$53,0),0)</f>
        <v/>
      </c>
      <c r="I36" s="43">
        <f>13-Berechnung!$E$71</f>
        <v/>
      </c>
      <c r="J36" s="43">
        <f>IF($I36&gt;=1,IFERROR(MATCH($I36,$N$1:$N$27,0),0),0)</f>
        <v/>
      </c>
    </row>
    <row r="37" ht="15" customHeight="1">
      <c r="A37" s="51">
        <f>IF($H37&gt;0,14,"")</f>
        <v/>
      </c>
      <c r="B37" s="52">
        <f>IF($H37&gt;0,INDEX(Berechnung!$D$4:$D$53,$H37)&amp;IF(INDEX(Eingabe!$J$43:$J$92,$H37)="",""," – "&amp;INDEX(Eingabe!$J$43:$J$92,$H37))&amp;IF(OR(INDEX(Berechnung!$B$4:$B$53,$H37)="",INDEX(Berechnung!$B$4:$B$53,$H37)=INDEX(Bereiche,1)),""," ("&amp;INDEX(Berechnung!$B$4:$B$53,$H37)&amp;")"),IF($J37&gt;0,INDEX($O$1:$O$27,$J37),""))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IF($H37&gt;0,INDEX(Berechnung!$O$4:$O$53,$H37),IF($J37&gt;0,INDEX($P$1:$P$27,$J37),""))</f>
        <v/>
      </c>
      <c r="H37" s="43">
        <f>IFERROR(MATCH(14,Berechnung!$A$4:$A$53,0),0)</f>
        <v/>
      </c>
      <c r="I37" s="43">
        <f>14-Berechnung!$E$71</f>
        <v/>
      </c>
      <c r="J37" s="43">
        <f>IF($I37&gt;=1,IFERROR(MATCH($I37,$N$1:$N$27,0),0),0)</f>
        <v/>
      </c>
    </row>
    <row r="38" ht="15" customHeight="1">
      <c r="A38" s="51">
        <f>IF($H38&gt;0,15,"")</f>
        <v/>
      </c>
      <c r="B38" s="52">
        <f>IF($H38&gt;0,INDEX(Berechnung!$D$4:$D$53,$H38)&amp;IF(INDEX(Eingabe!$J$43:$J$92,$H38)="",""," – "&amp;INDEX(Eingabe!$J$43:$J$92,$H38))&amp;IF(OR(INDEX(Berechnung!$B$4:$B$53,$H38)="",INDEX(Berechnung!$B$4:$B$53,$H38)=INDEX(Bereiche,1)),""," ("&amp;INDEX(Berechnung!$B$4:$B$53,$H38)&amp;")"),IF($J38&gt;0,INDEX($O$1:$O$27,$J38),""))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IF($H38&gt;0,INDEX(Berechnung!$O$4:$O$53,$H38),IF($J38&gt;0,INDEX($P$1:$P$27,$J38),""))</f>
        <v/>
      </c>
      <c r="H38" s="43">
        <f>IFERROR(MATCH(15,Berechnung!$A$4:$A$53,0),0)</f>
        <v/>
      </c>
      <c r="I38" s="43">
        <f>15-Berechnung!$E$71</f>
        <v/>
      </c>
      <c r="J38" s="43">
        <f>IF($I38&gt;=1,IFERROR(MATCH($I38,$N$1:$N$27,0),0),0)</f>
        <v/>
      </c>
    </row>
    <row r="39" ht="15" customHeight="1">
      <c r="A39" s="51">
        <f>IF($H39&gt;0,16,"")</f>
        <v/>
      </c>
      <c r="B39" s="52">
        <f>IF($H39&gt;0,INDEX(Berechnung!$D$4:$D$53,$H39)&amp;IF(INDEX(Eingabe!$J$43:$J$92,$H39)="",""," – "&amp;INDEX(Eingabe!$J$43:$J$92,$H39))&amp;IF(OR(INDEX(Berechnung!$B$4:$B$53,$H39)="",INDEX(Berechnung!$B$4:$B$53,$H39)=INDEX(Bereiche,1)),""," ("&amp;INDEX(Berechnung!$B$4:$B$53,$H39)&amp;")"),IF($J39&gt;0,INDEX($O$1:$O$27,$J39),""))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IF($H39&gt;0,INDEX(Berechnung!$O$4:$O$53,$H39),IF($J39&gt;0,INDEX($P$1:$P$27,$J39),""))</f>
        <v/>
      </c>
      <c r="H39" s="43">
        <f>IFERROR(MATCH(16,Berechnung!$A$4:$A$53,0),0)</f>
        <v/>
      </c>
      <c r="I39" s="43">
        <f>16-Berechnung!$E$71</f>
        <v/>
      </c>
      <c r="J39" s="43">
        <f>IF($I39&gt;=1,IFERROR(MATCH($I39,$N$1:$N$27,0),0),0)</f>
        <v/>
      </c>
    </row>
    <row r="40" ht="15" customHeight="1">
      <c r="A40" s="51">
        <f>IF($H40&gt;0,17,"")</f>
        <v/>
      </c>
      <c r="B40" s="52">
        <f>IF($H40&gt;0,INDEX(Berechnung!$D$4:$D$53,$H40)&amp;IF(INDEX(Eingabe!$J$43:$J$92,$H40)="",""," – "&amp;INDEX(Eingabe!$J$43:$J$92,$H40))&amp;IF(OR(INDEX(Berechnung!$B$4:$B$53,$H40)="",INDEX(Berechnung!$B$4:$B$53,$H40)=INDEX(Bereiche,1)),""," ("&amp;INDEX(Berechnung!$B$4:$B$53,$H40)&amp;")"),IF($J40&gt;0,INDEX($O$1:$O$27,$J40),""))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IF($H40&gt;0,INDEX(Berechnung!$O$4:$O$53,$H40),IF($J40&gt;0,INDEX($P$1:$P$27,$J40),""))</f>
        <v/>
      </c>
      <c r="H40" s="43">
        <f>IFERROR(MATCH(17,Berechnung!$A$4:$A$53,0),0)</f>
        <v/>
      </c>
      <c r="I40" s="43">
        <f>17-Berechnung!$E$71</f>
        <v/>
      </c>
      <c r="J40" s="43">
        <f>IF($I40&gt;=1,IFERROR(MATCH($I40,$N$1:$N$27,0),0),0)</f>
        <v/>
      </c>
    </row>
    <row r="41" ht="15" customHeight="1">
      <c r="A41" s="51">
        <f>IF($H41&gt;0,18,"")</f>
        <v/>
      </c>
      <c r="B41" s="52">
        <f>IF($H41&gt;0,INDEX(Berechnung!$D$4:$D$53,$H41)&amp;IF(INDEX(Eingabe!$J$43:$J$92,$H41)="",""," – "&amp;INDEX(Eingabe!$J$43:$J$92,$H41))&amp;IF(OR(INDEX(Berechnung!$B$4:$B$53,$H41)="",INDEX(Berechnung!$B$4:$B$53,$H41)=INDEX(Bereiche,1)),""," ("&amp;INDEX(Berechnung!$B$4:$B$53,$H41)&amp;")"),IF($J41&gt;0,INDEX($O$1:$O$27,$J41),""))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IF($H41&gt;0,INDEX(Berechnung!$O$4:$O$53,$H41),IF($J41&gt;0,INDEX($P$1:$P$27,$J41),""))</f>
        <v/>
      </c>
      <c r="H41" s="43">
        <f>IFERROR(MATCH(18,Berechnung!$A$4:$A$53,0),0)</f>
        <v/>
      </c>
      <c r="I41" s="43">
        <f>18-Berechnung!$E$71</f>
        <v/>
      </c>
      <c r="J41" s="43">
        <f>IF($I41&gt;=1,IFERROR(MATCH($I41,$N$1:$N$27,0),0),0)</f>
        <v/>
      </c>
    </row>
    <row r="42" ht="15" customHeight="1">
      <c r="A42" s="51">
        <f>IF($H42&gt;0,19,"")</f>
        <v/>
      </c>
      <c r="B42" s="52">
        <f>IF($H42&gt;0,INDEX(Berechnung!$D$4:$D$53,$H42)&amp;IF(INDEX(Eingabe!$J$43:$J$92,$H42)="",""," – "&amp;INDEX(Eingabe!$J$43:$J$92,$H42))&amp;IF(OR(INDEX(Berechnung!$B$4:$B$53,$H42)="",INDEX(Berechnung!$B$4:$B$53,$H42)=INDEX(Bereiche,1)),""," ("&amp;INDEX(Berechnung!$B$4:$B$53,$H42)&amp;")"),IF($J42&gt;0,INDEX($O$1:$O$27,$J42),""))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IF($H42&gt;0,INDEX(Berechnung!$O$4:$O$53,$H42),IF($J42&gt;0,INDEX($P$1:$P$27,$J42),""))</f>
        <v/>
      </c>
      <c r="H42" s="43">
        <f>IFERROR(MATCH(19,Berechnung!$A$4:$A$53,0),0)</f>
        <v/>
      </c>
      <c r="I42" s="43">
        <f>19-Berechnung!$E$71</f>
        <v/>
      </c>
      <c r="J42" s="43">
        <f>IF($I42&gt;=1,IFERROR(MATCH($I42,$N$1:$N$27,0),0),0)</f>
        <v/>
      </c>
    </row>
    <row r="43" ht="15" customHeight="1">
      <c r="A43" s="51">
        <f>IF($H43&gt;0,20,"")</f>
        <v/>
      </c>
      <c r="B43" s="52">
        <f>IF($H43&gt;0,INDEX(Berechnung!$D$4:$D$53,$H43)&amp;IF(INDEX(Eingabe!$J$43:$J$92,$H43)="",""," – "&amp;INDEX(Eingabe!$J$43:$J$92,$H43))&amp;IF(OR(INDEX(Berechnung!$B$4:$B$53,$H43)="",INDEX(Berechnung!$B$4:$B$53,$H43)=INDEX(Bereiche,1)),""," ("&amp;INDEX(Berechnung!$B$4:$B$53,$H43)&amp;")"),IF($J43&gt;0,INDEX($O$1:$O$27,$J43),""))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IF($H43&gt;0,INDEX(Berechnung!$O$4:$O$53,$H43),IF($J43&gt;0,INDEX($P$1:$P$27,$J43),""))</f>
        <v/>
      </c>
      <c r="H43" s="43">
        <f>IFERROR(MATCH(20,Berechnung!$A$4:$A$53,0),0)</f>
        <v/>
      </c>
      <c r="I43" s="43">
        <f>20-Berechnung!$E$71</f>
        <v/>
      </c>
      <c r="J43" s="43">
        <f>IF($I43&gt;=1,IFERROR(MATCH($I43,$N$1:$N$27,0),0),0)</f>
        <v/>
      </c>
    </row>
    <row r="44" ht="15" customHeight="1">
      <c r="A44" s="51">
        <f>IF($H44&gt;0,21,"")</f>
        <v/>
      </c>
      <c r="B44" s="52">
        <f>IF($H44&gt;0,INDEX(Berechnung!$D$4:$D$53,$H44)&amp;IF(INDEX(Eingabe!$J$43:$J$92,$H44)="",""," – "&amp;INDEX(Eingabe!$J$43:$J$92,$H44))&amp;IF(OR(INDEX(Berechnung!$B$4:$B$53,$H44)="",INDEX(Berechnung!$B$4:$B$53,$H44)=INDEX(Bereiche,1)),""," ("&amp;INDEX(Berechnung!$B$4:$B$53,$H44)&amp;")"),IF($J44&gt;0,INDEX($O$1:$O$27,$J44),""))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IF($H44&gt;0,INDEX(Berechnung!$O$4:$O$53,$H44),IF($J44&gt;0,INDEX($P$1:$P$27,$J44),""))</f>
        <v/>
      </c>
      <c r="H44" s="43">
        <f>IFERROR(MATCH(21,Berechnung!$A$4:$A$53,0),0)</f>
        <v/>
      </c>
      <c r="I44" s="43">
        <f>21-Berechnung!$E$71</f>
        <v/>
      </c>
      <c r="J44" s="43">
        <f>IF($I44&gt;=1,IFERROR(MATCH($I44,$N$1:$N$27,0),0),0)</f>
        <v/>
      </c>
    </row>
    <row r="45" ht="15" customHeight="1">
      <c r="A45" s="51">
        <f>IF($H45&gt;0,22,"")</f>
        <v/>
      </c>
      <c r="B45" s="52">
        <f>IF($H45&gt;0,INDEX(Berechnung!$D$4:$D$53,$H45)&amp;IF(INDEX(Eingabe!$J$43:$J$92,$H45)="",""," – "&amp;INDEX(Eingabe!$J$43:$J$92,$H45))&amp;IF(OR(INDEX(Berechnung!$B$4:$B$53,$H45)="",INDEX(Berechnung!$B$4:$B$53,$H45)=INDEX(Bereiche,1)),""," ("&amp;INDEX(Berechnung!$B$4:$B$53,$H45)&amp;")"),IF($J45&gt;0,INDEX($O$1:$O$27,$J45),""))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IF($H45&gt;0,INDEX(Berechnung!$O$4:$O$53,$H45),IF($J45&gt;0,INDEX($P$1:$P$27,$J45),""))</f>
        <v/>
      </c>
      <c r="H45" s="43">
        <f>IFERROR(MATCH(22,Berechnung!$A$4:$A$53,0),0)</f>
        <v/>
      </c>
      <c r="I45" s="43">
        <f>22-Berechnung!$E$71</f>
        <v/>
      </c>
      <c r="J45" s="43">
        <f>IF($I45&gt;=1,IFERROR(MATCH($I45,$N$1:$N$27,0),0),0)</f>
        <v/>
      </c>
    </row>
    <row r="46" ht="15" customHeight="1">
      <c r="A46" s="51">
        <f>IF($H46&gt;0,23,"")</f>
        <v/>
      </c>
      <c r="B46" s="52">
        <f>IF($H46&gt;0,INDEX(Berechnung!$D$4:$D$53,$H46)&amp;IF(INDEX(Eingabe!$J$43:$J$92,$H46)="",""," – "&amp;INDEX(Eingabe!$J$43:$J$92,$H46))&amp;IF(OR(INDEX(Berechnung!$B$4:$B$53,$H46)="",INDEX(Berechnung!$B$4:$B$53,$H46)=INDEX(Bereiche,1)),""," ("&amp;INDEX(Berechnung!$B$4:$B$53,$H46)&amp;")"),IF($J46&gt;0,INDEX($O$1:$O$27,$J46),""))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IF($H46&gt;0,INDEX(Berechnung!$O$4:$O$53,$H46),IF($J46&gt;0,INDEX($P$1:$P$27,$J46),""))</f>
        <v/>
      </c>
      <c r="H46" s="43">
        <f>IFERROR(MATCH(23,Berechnung!$A$4:$A$53,0),0)</f>
        <v/>
      </c>
      <c r="I46" s="43">
        <f>23-Berechnung!$E$71</f>
        <v/>
      </c>
      <c r="J46" s="43">
        <f>IF($I46&gt;=1,IFERROR(MATCH($I46,$N$1:$N$27,0),0),0)</f>
        <v/>
      </c>
    </row>
    <row r="47" ht="15" customHeight="1">
      <c r="A47" s="51">
        <f>IF($H47&gt;0,24,"")</f>
        <v/>
      </c>
      <c r="B47" s="52">
        <f>IF($H47&gt;0,INDEX(Berechnung!$D$4:$D$53,$H47)&amp;IF(INDEX(Eingabe!$J$43:$J$92,$H47)="",""," – "&amp;INDEX(Eingabe!$J$43:$J$92,$H47))&amp;IF(OR(INDEX(Berechnung!$B$4:$B$53,$H47)="",INDEX(Berechnung!$B$4:$B$53,$H47)=INDEX(Bereiche,1)),""," ("&amp;INDEX(Berechnung!$B$4:$B$53,$H47)&amp;")"),IF($J47&gt;0,INDEX($O$1:$O$27,$J47),""))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IF($H47&gt;0,INDEX(Berechnung!$O$4:$O$53,$H47),IF($J47&gt;0,INDEX($P$1:$P$27,$J47),""))</f>
        <v/>
      </c>
      <c r="H47" s="43">
        <f>IFERROR(MATCH(24,Berechnung!$A$4:$A$53,0),0)</f>
        <v/>
      </c>
      <c r="I47" s="43">
        <f>24-Berechnung!$E$71</f>
        <v/>
      </c>
      <c r="J47" s="43">
        <f>IF($I47&gt;=1,IFERROR(MATCH($I47,$N$1:$N$27,0),0),0)</f>
        <v/>
      </c>
    </row>
    <row r="48" ht="15" customHeight="1">
      <c r="A48" s="51">
        <f>IF($H48&gt;0,25,"")</f>
        <v/>
      </c>
      <c r="B48" s="52">
        <f>IF($H48&gt;0,INDEX(Berechnung!$D$4:$D$53,$H48)&amp;IF(INDEX(Eingabe!$J$43:$J$92,$H48)="",""," – "&amp;INDEX(Eingabe!$J$43:$J$92,$H48))&amp;IF(OR(INDEX(Berechnung!$B$4:$B$53,$H48)="",INDEX(Berechnung!$B$4:$B$53,$H48)=INDEX(Bereiche,1)),""," ("&amp;INDEX(Berechnung!$B$4:$B$53,$H48)&amp;")"),IF($J48&gt;0,INDEX($O$1:$O$27,$J48),""))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IF($H48&gt;0,INDEX(Berechnung!$O$4:$O$53,$H48),IF($J48&gt;0,INDEX($P$1:$P$27,$J48),""))</f>
        <v/>
      </c>
      <c r="H48" s="43">
        <f>IFERROR(MATCH(25,Berechnung!$A$4:$A$53,0),0)</f>
        <v/>
      </c>
      <c r="I48" s="43">
        <f>25-Berechnung!$E$71</f>
        <v/>
      </c>
      <c r="J48" s="43">
        <f>IF($I48&gt;=1,IFERROR(MATCH($I48,$N$1:$N$27,0),0),0)</f>
        <v/>
      </c>
    </row>
    <row r="49" ht="15" customHeight="1">
      <c r="A49" s="51">
        <f>IF($H49&gt;0,26,"")</f>
        <v/>
      </c>
      <c r="B49" s="52">
        <f>IF($H49&gt;0,INDEX(Berechnung!$D$4:$D$53,$H49)&amp;IF(INDEX(Eingabe!$J$43:$J$92,$H49)="",""," – "&amp;INDEX(Eingabe!$J$43:$J$92,$H49))&amp;IF(OR(INDEX(Berechnung!$B$4:$B$53,$H49)="",INDEX(Berechnung!$B$4:$B$53,$H49)=INDEX(Bereiche,1)),""," ("&amp;INDEX(Berechnung!$B$4:$B$53,$H49)&amp;")"),IF($J49&gt;0,INDEX($O$1:$O$27,$J49),""))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IF($H49&gt;0,INDEX(Berechnung!$O$4:$O$53,$H49),IF($J49&gt;0,INDEX($P$1:$P$27,$J49),""))</f>
        <v/>
      </c>
      <c r="H49" s="43">
        <f>IFERROR(MATCH(26,Berechnung!$A$4:$A$53,0),0)</f>
        <v/>
      </c>
      <c r="I49" s="43">
        <f>26-Berechnung!$E$71</f>
        <v/>
      </c>
      <c r="J49" s="43">
        <f>IF($I49&gt;=1,IFERROR(MATCH($I49,$N$1:$N$27,0),0),0)</f>
        <v/>
      </c>
    </row>
    <row r="50" ht="15" customHeight="1">
      <c r="A50" s="51">
        <f>IF($H50&gt;0,27,"")</f>
        <v/>
      </c>
      <c r="B50" s="52">
        <f>IF($H50&gt;0,INDEX(Berechnung!$D$4:$D$53,$H50)&amp;IF(INDEX(Eingabe!$J$43:$J$92,$H50)="",""," – "&amp;INDEX(Eingabe!$J$43:$J$92,$H50))&amp;IF(OR(INDEX(Berechnung!$B$4:$B$53,$H50)="",INDEX(Berechnung!$B$4:$B$53,$H50)=INDEX(Bereiche,1)),""," ("&amp;INDEX(Berechnung!$B$4:$B$53,$H50)&amp;")"),IF($J50&gt;0,INDEX($O$1:$O$27,$J50),""))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IF($H50&gt;0,INDEX(Berechnung!$O$4:$O$53,$H50),IF($J50&gt;0,INDEX($P$1:$P$27,$J50),""))</f>
        <v/>
      </c>
      <c r="H50" s="43">
        <f>IFERROR(MATCH(27,Berechnung!$A$4:$A$53,0),0)</f>
        <v/>
      </c>
      <c r="I50" s="43">
        <f>27-Berechnung!$E$71</f>
        <v/>
      </c>
      <c r="J50" s="43">
        <f>IF($I50&gt;=1,IFERROR(MATCH($I50,$N$1:$N$27,0),0),0)</f>
        <v/>
      </c>
    </row>
    <row r="51" ht="15" customHeight="1">
      <c r="A51" s="51">
        <f>IF($H51&gt;0,28,"")</f>
        <v/>
      </c>
      <c r="B51" s="52">
        <f>IF($H51&gt;0,INDEX(Berechnung!$D$4:$D$53,$H51)&amp;IF(INDEX(Eingabe!$J$43:$J$92,$H51)="",""," – "&amp;INDEX(Eingabe!$J$43:$J$92,$H51))&amp;IF(OR(INDEX(Berechnung!$B$4:$B$53,$H51)="",INDEX(Berechnung!$B$4:$B$53,$H51)=INDEX(Bereiche,1)),""," ("&amp;INDEX(Berechnung!$B$4:$B$53,$H51)&amp;")"),IF($J51&gt;0,INDEX($O$1:$O$27,$J51),""))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IF($H51&gt;0,INDEX(Berechnung!$O$4:$O$53,$H51),IF($J51&gt;0,INDEX($P$1:$P$27,$J51),""))</f>
        <v/>
      </c>
      <c r="H51" s="43">
        <f>IFERROR(MATCH(28,Berechnung!$A$4:$A$53,0),0)</f>
        <v/>
      </c>
      <c r="I51" s="43">
        <f>28-Berechnung!$E$71</f>
        <v/>
      </c>
      <c r="J51" s="43">
        <f>IF($I51&gt;=1,IFERROR(MATCH($I51,$N$1:$N$27,0),0),0)</f>
        <v/>
      </c>
    </row>
    <row r="52" ht="15" customHeight="1">
      <c r="A52" s="51">
        <f>IF($H52&gt;0,29,"")</f>
        <v/>
      </c>
      <c r="B52" s="52">
        <f>IF($H52&gt;0,INDEX(Berechnung!$D$4:$D$53,$H52)&amp;IF(INDEX(Eingabe!$J$43:$J$92,$H52)="",""," – "&amp;INDEX(Eingabe!$J$43:$J$92,$H52))&amp;IF(OR(INDEX(Berechnung!$B$4:$B$53,$H52)="",INDEX(Berechnung!$B$4:$B$53,$H52)=INDEX(Bereiche,1)),""," ("&amp;INDEX(Berechnung!$B$4:$B$53,$H52)&amp;")"),IF($J52&gt;0,INDEX($O$1:$O$27,$J52),""))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IF($H52&gt;0,INDEX(Berechnung!$O$4:$O$53,$H52),IF($J52&gt;0,INDEX($P$1:$P$27,$J52),""))</f>
        <v/>
      </c>
      <c r="H52" s="43">
        <f>IFERROR(MATCH(29,Berechnung!$A$4:$A$53,0),0)</f>
        <v/>
      </c>
      <c r="I52" s="43">
        <f>29-Berechnung!$E$71</f>
        <v/>
      </c>
      <c r="J52" s="43">
        <f>IF($I52&gt;=1,IFERROR(MATCH($I52,$N$1:$N$27,0),0),0)</f>
        <v/>
      </c>
    </row>
    <row r="53" ht="15" customHeight="1">
      <c r="A53" s="51">
        <f>IF($H53&gt;0,30,"")</f>
        <v/>
      </c>
      <c r="B53" s="52">
        <f>IF($H53&gt;0,INDEX(Berechnung!$D$4:$D$53,$H53)&amp;IF(INDEX(Eingabe!$J$43:$J$92,$H53)="",""," – "&amp;INDEX(Eingabe!$J$43:$J$92,$H53))&amp;IF(OR(INDEX(Berechnung!$B$4:$B$53,$H53)="",INDEX(Berechnung!$B$4:$B$53,$H53)=INDEX(Bereiche,1)),""," ("&amp;INDEX(Berechnung!$B$4:$B$53,$H53)&amp;")"),IF($J53&gt;0,INDEX($O$1:$O$27,$J53),""))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IF($H53&gt;0,INDEX(Berechnung!$O$4:$O$53,$H53),IF($J53&gt;0,INDEX($P$1:$P$27,$J53),""))</f>
        <v/>
      </c>
      <c r="H53" s="43">
        <f>IFERROR(MATCH(30,Berechnung!$A$4:$A$53,0),0)</f>
        <v/>
      </c>
      <c r="I53" s="43">
        <f>30-Berechnung!$E$71</f>
        <v/>
      </c>
      <c r="J53" s="43">
        <f>IF($I53&gt;=1,IFERROR(MATCH($I53,$N$1:$N$27,0),0),0)</f>
        <v/>
      </c>
    </row>
    <row r="54" ht="15" customHeight="1">
      <c r="A54" s="51">
        <f>IF($H54&gt;0,31,"")</f>
        <v/>
      </c>
      <c r="B54" s="52">
        <f>IF($H54&gt;0,INDEX(Berechnung!$D$4:$D$53,$H54)&amp;IF(INDEX(Eingabe!$J$43:$J$92,$H54)="",""," – "&amp;INDEX(Eingabe!$J$43:$J$92,$H54))&amp;IF(OR(INDEX(Berechnung!$B$4:$B$53,$H54)="",INDEX(Berechnung!$B$4:$B$53,$H54)=INDEX(Bereiche,1)),""," ("&amp;INDEX(Berechnung!$B$4:$B$53,$H54)&amp;")"),IF($J54&gt;0,INDEX($O$1:$O$27,$J54),""))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IF($H54&gt;0,INDEX(Berechnung!$O$4:$O$53,$H54),IF($J54&gt;0,INDEX($P$1:$P$27,$J54),""))</f>
        <v/>
      </c>
      <c r="H54" s="43">
        <f>IFERROR(MATCH(31,Berechnung!$A$4:$A$53,0),0)</f>
        <v/>
      </c>
      <c r="I54" s="43">
        <f>31-Berechnung!$E$71</f>
        <v/>
      </c>
      <c r="J54" s="43">
        <f>IF($I54&gt;=1,IFERROR(MATCH($I54,$N$1:$N$27,0),0),0)</f>
        <v/>
      </c>
    </row>
    <row r="55" ht="15" customHeight="1">
      <c r="A55" s="51">
        <f>IF($H55&gt;0,32,"")</f>
        <v/>
      </c>
      <c r="B55" s="52">
        <f>IF($H55&gt;0,INDEX(Berechnung!$D$4:$D$53,$H55)&amp;IF(INDEX(Eingabe!$J$43:$J$92,$H55)="",""," – "&amp;INDEX(Eingabe!$J$43:$J$92,$H55))&amp;IF(OR(INDEX(Berechnung!$B$4:$B$53,$H55)="",INDEX(Berechnung!$B$4:$B$53,$H55)=INDEX(Bereiche,1)),""," ("&amp;INDEX(Berechnung!$B$4:$B$53,$H55)&amp;")"),IF($J55&gt;0,INDEX($O$1:$O$27,$J55),""))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IF($H55&gt;0,INDEX(Berechnung!$O$4:$O$53,$H55),IF($J55&gt;0,INDEX($P$1:$P$27,$J55),""))</f>
        <v/>
      </c>
      <c r="H55" s="43">
        <f>IFERROR(MATCH(32,Berechnung!$A$4:$A$53,0),0)</f>
        <v/>
      </c>
      <c r="I55" s="43">
        <f>32-Berechnung!$E$71</f>
        <v/>
      </c>
      <c r="J55" s="43">
        <f>IF($I55&gt;=1,IFERROR(MATCH($I55,$N$1:$N$27,0),0),0)</f>
        <v/>
      </c>
    </row>
    <row r="56" ht="15" customHeight="1">
      <c r="A56" s="51">
        <f>IF($H56&gt;0,33,"")</f>
        <v/>
      </c>
      <c r="B56" s="52">
        <f>IF($H56&gt;0,INDEX(Berechnung!$D$4:$D$53,$H56)&amp;IF(INDEX(Eingabe!$J$43:$J$92,$H56)="",""," – "&amp;INDEX(Eingabe!$J$43:$J$92,$H56))&amp;IF(OR(INDEX(Berechnung!$B$4:$B$53,$H56)="",INDEX(Berechnung!$B$4:$B$53,$H56)=INDEX(Bereiche,1)),""," ("&amp;INDEX(Berechnung!$B$4:$B$53,$H56)&amp;")"),IF($J56&gt;0,INDEX($O$1:$O$27,$J56),""))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IF($H56&gt;0,INDEX(Berechnung!$O$4:$O$53,$H56),IF($J56&gt;0,INDEX($P$1:$P$27,$J56),""))</f>
        <v/>
      </c>
      <c r="H56" s="43">
        <f>IFERROR(MATCH(33,Berechnung!$A$4:$A$53,0),0)</f>
        <v/>
      </c>
      <c r="I56" s="43">
        <f>33-Berechnung!$E$71</f>
        <v/>
      </c>
      <c r="J56" s="43">
        <f>IF($I56&gt;=1,IFERROR(MATCH($I56,$N$1:$N$27,0),0),0)</f>
        <v/>
      </c>
    </row>
    <row r="57" ht="15" customHeight="1">
      <c r="A57" s="51">
        <f>IF($H57&gt;0,34,"")</f>
        <v/>
      </c>
      <c r="B57" s="52">
        <f>IF($H57&gt;0,INDEX(Berechnung!$D$4:$D$53,$H57)&amp;IF(INDEX(Eingabe!$J$43:$J$92,$H57)="",""," – "&amp;INDEX(Eingabe!$J$43:$J$92,$H57))&amp;IF(OR(INDEX(Berechnung!$B$4:$B$53,$H57)="",INDEX(Berechnung!$B$4:$B$53,$H57)=INDEX(Bereiche,1)),""," ("&amp;INDEX(Berechnung!$B$4:$B$53,$H57)&amp;")"),IF($J57&gt;0,INDEX($O$1:$O$27,$J57),""))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IF($H57&gt;0,INDEX(Berechnung!$O$4:$O$53,$H57),IF($J57&gt;0,INDEX($P$1:$P$27,$J57),""))</f>
        <v/>
      </c>
      <c r="H57" s="43">
        <f>IFERROR(MATCH(34,Berechnung!$A$4:$A$53,0),0)</f>
        <v/>
      </c>
      <c r="I57" s="43">
        <f>34-Berechnung!$E$71</f>
        <v/>
      </c>
      <c r="J57" s="43">
        <f>IF($I57&gt;=1,IFERROR(MATCH($I57,$N$1:$N$27,0),0),0)</f>
        <v/>
      </c>
    </row>
    <row r="58" ht="15" customHeight="1">
      <c r="A58" s="51">
        <f>IF($H58&gt;0,35,"")</f>
        <v/>
      </c>
      <c r="B58" s="52">
        <f>IF($H58&gt;0,INDEX(Berechnung!$D$4:$D$53,$H58)&amp;IF(INDEX(Eingabe!$J$43:$J$92,$H58)="",""," – "&amp;INDEX(Eingabe!$J$43:$J$92,$H58))&amp;IF(OR(INDEX(Berechnung!$B$4:$B$53,$H58)="",INDEX(Berechnung!$B$4:$B$53,$H58)=INDEX(Bereiche,1)),""," ("&amp;INDEX(Berechnung!$B$4:$B$53,$H58)&amp;")"),IF($J58&gt;0,INDEX($O$1:$O$27,$J58),""))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IF($H58&gt;0,INDEX(Berechnung!$O$4:$O$53,$H58),IF($J58&gt;0,INDEX($P$1:$P$27,$J58),""))</f>
        <v/>
      </c>
      <c r="H58" s="43">
        <f>IFERROR(MATCH(35,Berechnung!$A$4:$A$53,0),0)</f>
        <v/>
      </c>
      <c r="I58" s="43">
        <f>35-Berechnung!$E$71</f>
        <v/>
      </c>
      <c r="J58" s="43">
        <f>IF($I58&gt;=1,IFERROR(MATCH($I58,$N$1:$N$27,0),0),0)</f>
        <v/>
      </c>
    </row>
    <row r="59" ht="15" customHeight="1">
      <c r="A59" s="51">
        <f>IF($H59&gt;0,36,"")</f>
        <v/>
      </c>
      <c r="B59" s="52">
        <f>IF($H59&gt;0,INDEX(Berechnung!$D$4:$D$53,$H59)&amp;IF(INDEX(Eingabe!$J$43:$J$92,$H59)="",""," – "&amp;INDEX(Eingabe!$J$43:$J$92,$H59))&amp;IF(OR(INDEX(Berechnung!$B$4:$B$53,$H59)="",INDEX(Berechnung!$B$4:$B$53,$H59)=INDEX(Bereiche,1)),""," ("&amp;INDEX(Berechnung!$B$4:$B$53,$H59)&amp;")"),IF($J59&gt;0,INDEX($O$1:$O$27,$J59),""))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IF($H59&gt;0,INDEX(Berechnung!$O$4:$O$53,$H59),IF($J59&gt;0,INDEX($P$1:$P$27,$J59),""))</f>
        <v/>
      </c>
      <c r="H59" s="43">
        <f>IFERROR(MATCH(36,Berechnung!$A$4:$A$53,0),0)</f>
        <v/>
      </c>
      <c r="I59" s="43">
        <f>36-Berechnung!$E$71</f>
        <v/>
      </c>
      <c r="J59" s="43">
        <f>IF($I59&gt;=1,IFERROR(MATCH($I59,$N$1:$N$27,0),0),0)</f>
        <v/>
      </c>
    </row>
    <row r="60" ht="15" customHeight="1">
      <c r="A60" s="51">
        <f>IF($H60&gt;0,37,"")</f>
        <v/>
      </c>
      <c r="B60" s="52">
        <f>IF($H60&gt;0,INDEX(Berechnung!$D$4:$D$53,$H60)&amp;IF(INDEX(Eingabe!$J$43:$J$92,$H60)="",""," – "&amp;INDEX(Eingabe!$J$43:$J$92,$H60))&amp;IF(OR(INDEX(Berechnung!$B$4:$B$53,$H60)="",INDEX(Berechnung!$B$4:$B$53,$H60)=INDEX(Bereiche,1)),""," ("&amp;INDEX(Berechnung!$B$4:$B$53,$H60)&amp;")"),IF($J60&gt;0,INDEX($O$1:$O$27,$J60),""))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IF($H60&gt;0,INDEX(Berechnung!$O$4:$O$53,$H60),IF($J60&gt;0,INDEX($P$1:$P$27,$J60),""))</f>
        <v/>
      </c>
      <c r="H60" s="43">
        <f>IFERROR(MATCH(37,Berechnung!$A$4:$A$53,0),0)</f>
        <v/>
      </c>
      <c r="I60" s="43">
        <f>37-Berechnung!$E$71</f>
        <v/>
      </c>
      <c r="J60" s="43">
        <f>IF($I60&gt;=1,IFERROR(MATCH($I60,$N$1:$N$27,0),0),0)</f>
        <v/>
      </c>
    </row>
    <row r="61" ht="15" customHeight="1">
      <c r="A61" s="51">
        <f>IF($H61&gt;0,38,"")</f>
        <v/>
      </c>
      <c r="B61" s="52">
        <f>IF($H61&gt;0,INDEX(Berechnung!$D$4:$D$53,$H61)&amp;IF(INDEX(Eingabe!$J$43:$J$92,$H61)="",""," – "&amp;INDEX(Eingabe!$J$43:$J$92,$H61))&amp;IF(OR(INDEX(Berechnung!$B$4:$B$53,$H61)="",INDEX(Berechnung!$B$4:$B$53,$H61)=INDEX(Bereiche,1)),""," ("&amp;INDEX(Berechnung!$B$4:$B$53,$H61)&amp;")"),IF($J61&gt;0,INDEX($O$1:$O$27,$J61),""))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IF($H61&gt;0,INDEX(Berechnung!$O$4:$O$53,$H61),IF($J61&gt;0,INDEX($P$1:$P$27,$J61),""))</f>
        <v/>
      </c>
      <c r="H61" s="43">
        <f>IFERROR(MATCH(38,Berechnung!$A$4:$A$53,0),0)</f>
        <v/>
      </c>
      <c r="I61" s="43">
        <f>38-Berechnung!$E$71</f>
        <v/>
      </c>
      <c r="J61" s="43">
        <f>IF($I61&gt;=1,IFERROR(MATCH($I61,$N$1:$N$27,0),0),0)</f>
        <v/>
      </c>
    </row>
    <row r="62" ht="15" customHeight="1">
      <c r="A62" s="51">
        <f>IF($H62&gt;0,39,"")</f>
        <v/>
      </c>
      <c r="B62" s="52">
        <f>IF($H62&gt;0,INDEX(Berechnung!$D$4:$D$53,$H62)&amp;IF(INDEX(Eingabe!$J$43:$J$92,$H62)="",""," – "&amp;INDEX(Eingabe!$J$43:$J$92,$H62))&amp;IF(OR(INDEX(Berechnung!$B$4:$B$53,$H62)="",INDEX(Berechnung!$B$4:$B$53,$H62)=INDEX(Bereiche,1)),""," ("&amp;INDEX(Berechnung!$B$4:$B$53,$H62)&amp;")"),IF($J62&gt;0,INDEX($O$1:$O$27,$J62),""))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IF($H62&gt;0,INDEX(Berechnung!$O$4:$O$53,$H62),IF($J62&gt;0,INDEX($P$1:$P$27,$J62),""))</f>
        <v/>
      </c>
      <c r="H62" s="43">
        <f>IFERROR(MATCH(39,Berechnung!$A$4:$A$53,0),0)</f>
        <v/>
      </c>
      <c r="I62" s="43">
        <f>39-Berechnung!$E$71</f>
        <v/>
      </c>
      <c r="J62" s="43">
        <f>IF($I62&gt;=1,IFERROR(MATCH($I62,$N$1:$N$27,0),0),0)</f>
        <v/>
      </c>
    </row>
    <row r="63" ht="15" customHeight="1">
      <c r="A63" s="51">
        <f>IF($H63&gt;0,40,"")</f>
        <v/>
      </c>
      <c r="B63" s="52">
        <f>IF($H63&gt;0,INDEX(Berechnung!$D$4:$D$53,$H63)&amp;IF(INDEX(Eingabe!$J$43:$J$92,$H63)="",""," – "&amp;INDEX(Eingabe!$J$43:$J$92,$H63))&amp;IF(OR(INDEX(Berechnung!$B$4:$B$53,$H63)="",INDEX(Berechnung!$B$4:$B$53,$H63)=INDEX(Bereiche,1)),""," ("&amp;INDEX(Berechnung!$B$4:$B$53,$H63)&amp;")"),IF($J63&gt;0,INDEX($O$1:$O$27,$J63),""))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IF($H63&gt;0,INDEX(Berechnung!$O$4:$O$53,$H63),IF($J63&gt;0,INDEX($P$1:$P$27,$J63),""))</f>
        <v/>
      </c>
      <c r="H63" s="43">
        <f>IFERROR(MATCH(40,Berechnung!$A$4:$A$53,0),0)</f>
        <v/>
      </c>
      <c r="I63" s="43">
        <f>40-Berechnung!$E$71</f>
        <v/>
      </c>
      <c r="J63" s="43">
        <f>IF($I63&gt;=1,IFERROR(MATCH($I63,$N$1:$N$27,0),0),0)</f>
        <v/>
      </c>
    </row>
    <row r="64" ht="15" customHeight="1">
      <c r="A64" s="51">
        <f>IF($H64&gt;0,41,"")</f>
        <v/>
      </c>
      <c r="B64" s="52">
        <f>IF($H64&gt;0,INDEX(Berechnung!$D$4:$D$53,$H64)&amp;IF(INDEX(Eingabe!$J$43:$J$92,$H64)="",""," – "&amp;INDEX(Eingabe!$J$43:$J$92,$H64))&amp;IF(OR(INDEX(Berechnung!$B$4:$B$53,$H64)="",INDEX(Berechnung!$B$4:$B$53,$H64)=INDEX(Bereiche,1)),""," ("&amp;INDEX(Berechnung!$B$4:$B$53,$H64)&amp;")"),IF($J64&gt;0,INDEX($O$1:$O$27,$J64),""))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IF($H64&gt;0,INDEX(Berechnung!$O$4:$O$53,$H64),IF($J64&gt;0,INDEX($P$1:$P$27,$J64),""))</f>
        <v/>
      </c>
      <c r="H64" s="43">
        <f>IFERROR(MATCH(41,Berechnung!$A$4:$A$53,0),0)</f>
        <v/>
      </c>
      <c r="I64" s="43">
        <f>41-Berechnung!$E$71</f>
        <v/>
      </c>
      <c r="J64" s="43">
        <f>IF($I64&gt;=1,IFERROR(MATCH($I64,$N$1:$N$27,0),0),0)</f>
        <v/>
      </c>
    </row>
    <row r="65" ht="15" customHeight="1">
      <c r="A65" s="51">
        <f>IF($H65&gt;0,42,"")</f>
        <v/>
      </c>
      <c r="B65" s="52">
        <f>IF($H65&gt;0,INDEX(Berechnung!$D$4:$D$53,$H65)&amp;IF(INDEX(Eingabe!$J$43:$J$92,$H65)="",""," – "&amp;INDEX(Eingabe!$J$43:$J$92,$H65))&amp;IF(OR(INDEX(Berechnung!$B$4:$B$53,$H65)="",INDEX(Berechnung!$B$4:$B$53,$H65)=INDEX(Bereiche,1)),""," ("&amp;INDEX(Berechnung!$B$4:$B$53,$H65)&amp;")"),IF($J65&gt;0,INDEX($O$1:$O$27,$J65),""))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IF($H65&gt;0,INDEX(Berechnung!$O$4:$O$53,$H65),IF($J65&gt;0,INDEX($P$1:$P$27,$J65),""))</f>
        <v/>
      </c>
      <c r="H65" s="43">
        <f>IFERROR(MATCH(42,Berechnung!$A$4:$A$53,0),0)</f>
        <v/>
      </c>
      <c r="I65" s="43">
        <f>42-Berechnung!$E$71</f>
        <v/>
      </c>
      <c r="J65" s="43">
        <f>IF($I65&gt;=1,IFERROR(MATCH($I65,$N$1:$N$27,0),0),0)</f>
        <v/>
      </c>
    </row>
    <row r="66" ht="15" customHeight="1">
      <c r="A66" s="51">
        <f>IF($H66&gt;0,43,"")</f>
        <v/>
      </c>
      <c r="B66" s="52">
        <f>IF($H66&gt;0,INDEX(Berechnung!$D$4:$D$53,$H66)&amp;IF(INDEX(Eingabe!$J$43:$J$92,$H66)="",""," – "&amp;INDEX(Eingabe!$J$43:$J$92,$H66))&amp;IF(OR(INDEX(Berechnung!$B$4:$B$53,$H66)="",INDEX(Berechnung!$B$4:$B$53,$H66)=INDEX(Bereiche,1)),""," ("&amp;INDEX(Berechnung!$B$4:$B$53,$H66)&amp;")"),IF($J66&gt;0,INDEX($O$1:$O$27,$J66),""))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IF($H66&gt;0,INDEX(Berechnung!$O$4:$O$53,$H66),IF($J66&gt;0,INDEX($P$1:$P$27,$J66),""))</f>
        <v/>
      </c>
      <c r="H66" s="43">
        <f>IFERROR(MATCH(43,Berechnung!$A$4:$A$53,0),0)</f>
        <v/>
      </c>
      <c r="I66" s="43">
        <f>43-Berechnung!$E$71</f>
        <v/>
      </c>
      <c r="J66" s="43">
        <f>IF($I66&gt;=1,IFERROR(MATCH($I66,$N$1:$N$27,0),0),0)</f>
        <v/>
      </c>
    </row>
    <row r="67" ht="15" customHeight="1">
      <c r="A67" s="51">
        <f>IF($H67&gt;0,44,"")</f>
        <v/>
      </c>
      <c r="B67" s="52">
        <f>IF($H67&gt;0,INDEX(Berechnung!$D$4:$D$53,$H67)&amp;IF(INDEX(Eingabe!$J$43:$J$92,$H67)="",""," – "&amp;INDEX(Eingabe!$J$43:$J$92,$H67))&amp;IF(OR(INDEX(Berechnung!$B$4:$B$53,$H67)="",INDEX(Berechnung!$B$4:$B$53,$H67)=INDEX(Bereiche,1)),""," ("&amp;INDEX(Berechnung!$B$4:$B$53,$H67)&amp;")"),IF($J67&gt;0,INDEX($O$1:$O$27,$J67),""))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IF($H67&gt;0,INDEX(Berechnung!$O$4:$O$53,$H67),IF($J67&gt;0,INDEX($P$1:$P$27,$J67),""))</f>
        <v/>
      </c>
      <c r="H67" s="43">
        <f>IFERROR(MATCH(44,Berechnung!$A$4:$A$53,0),0)</f>
        <v/>
      </c>
      <c r="I67" s="43">
        <f>44-Berechnung!$E$71</f>
        <v/>
      </c>
      <c r="J67" s="43">
        <f>IF($I67&gt;=1,IFERROR(MATCH($I67,$N$1:$N$27,0),0),0)</f>
        <v/>
      </c>
    </row>
    <row r="68" ht="15" customHeight="1">
      <c r="A68" s="51">
        <f>IF($H68&gt;0,45,"")</f>
        <v/>
      </c>
      <c r="B68" s="52">
        <f>IF($H68&gt;0,INDEX(Berechnung!$D$4:$D$53,$H68)&amp;IF(INDEX(Eingabe!$J$43:$J$92,$H68)="",""," – "&amp;INDEX(Eingabe!$J$43:$J$92,$H68))&amp;IF(OR(INDEX(Berechnung!$B$4:$B$53,$H68)="",INDEX(Berechnung!$B$4:$B$53,$H68)=INDEX(Bereiche,1)),""," ("&amp;INDEX(Berechnung!$B$4:$B$53,$H68)&amp;")"),IF($J68&gt;0,INDEX($O$1:$O$27,$J68),""))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IF($H68&gt;0,INDEX(Berechnung!$O$4:$O$53,$H68),IF($J68&gt;0,INDEX($P$1:$P$27,$J68),""))</f>
        <v/>
      </c>
      <c r="H68" s="43">
        <f>IFERROR(MATCH(45,Berechnung!$A$4:$A$53,0),0)</f>
        <v/>
      </c>
      <c r="I68" s="43">
        <f>45-Berechnung!$E$71</f>
        <v/>
      </c>
      <c r="J68" s="43">
        <f>IF($I68&gt;=1,IFERROR(MATCH($I68,$N$1:$N$27,0),0),0)</f>
        <v/>
      </c>
    </row>
    <row r="69" ht="15" customHeight="1">
      <c r="A69" s="51">
        <f>IF($H69&gt;0,46,"")</f>
        <v/>
      </c>
      <c r="B69" s="52">
        <f>IF($H69&gt;0,INDEX(Berechnung!$D$4:$D$53,$H69)&amp;IF(INDEX(Eingabe!$J$43:$J$92,$H69)="",""," – "&amp;INDEX(Eingabe!$J$43:$J$92,$H69))&amp;IF(OR(INDEX(Berechnung!$B$4:$B$53,$H69)="",INDEX(Berechnung!$B$4:$B$53,$H69)=INDEX(Bereiche,1)),""," ("&amp;INDEX(Berechnung!$B$4:$B$53,$H69)&amp;")"),IF($J69&gt;0,INDEX($O$1:$O$27,$J69),""))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IF($H69&gt;0,INDEX(Berechnung!$O$4:$O$53,$H69),IF($J69&gt;0,INDEX($P$1:$P$27,$J69),""))</f>
        <v/>
      </c>
      <c r="H69" s="43">
        <f>IFERROR(MATCH(46,Berechnung!$A$4:$A$53,0),0)</f>
        <v/>
      </c>
      <c r="I69" s="43">
        <f>46-Berechnung!$E$71</f>
        <v/>
      </c>
      <c r="J69" s="43">
        <f>IF($I69&gt;=1,IFERROR(MATCH($I69,$N$1:$N$27,0),0),0)</f>
        <v/>
      </c>
    </row>
    <row r="70" ht="15" customHeight="1">
      <c r="A70" s="51">
        <f>IF($H70&gt;0,47,"")</f>
        <v/>
      </c>
      <c r="B70" s="52">
        <f>IF($H70&gt;0,INDEX(Berechnung!$D$4:$D$53,$H70)&amp;IF(INDEX(Eingabe!$J$43:$J$92,$H70)="",""," – "&amp;INDEX(Eingabe!$J$43:$J$92,$H70))&amp;IF(OR(INDEX(Berechnung!$B$4:$B$53,$H70)="",INDEX(Berechnung!$B$4:$B$53,$H70)=INDEX(Bereiche,1)),""," ("&amp;INDEX(Berechnung!$B$4:$B$53,$H70)&amp;")"),IF($J70&gt;0,INDEX($O$1:$O$27,$J70),""))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IF($H70&gt;0,INDEX(Berechnung!$O$4:$O$53,$H70),IF($J70&gt;0,INDEX($P$1:$P$27,$J70),""))</f>
        <v/>
      </c>
      <c r="H70" s="43">
        <f>IFERROR(MATCH(47,Berechnung!$A$4:$A$53,0),0)</f>
        <v/>
      </c>
      <c r="I70" s="43">
        <f>47-Berechnung!$E$71</f>
        <v/>
      </c>
      <c r="J70" s="43">
        <f>IF($I70&gt;=1,IFERROR(MATCH($I70,$N$1:$N$27,0),0),0)</f>
        <v/>
      </c>
    </row>
    <row r="71" ht="15" customHeight="1">
      <c r="A71" s="51">
        <f>IF($H71&gt;0,48,"")</f>
        <v/>
      </c>
      <c r="B71" s="52">
        <f>IF($H71&gt;0,INDEX(Berechnung!$D$4:$D$53,$H71)&amp;IF(INDEX(Eingabe!$J$43:$J$92,$H71)="",""," – "&amp;INDEX(Eingabe!$J$43:$J$92,$H71))&amp;IF(OR(INDEX(Berechnung!$B$4:$B$53,$H71)="",INDEX(Berechnung!$B$4:$B$53,$H71)=INDEX(Bereiche,1)),""," ("&amp;INDEX(Berechnung!$B$4:$B$53,$H71)&amp;")"),IF($J71&gt;0,INDEX($O$1:$O$27,$J71),""))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IF($H71&gt;0,INDEX(Berechnung!$O$4:$O$53,$H71),IF($J71&gt;0,INDEX($P$1:$P$27,$J71),""))</f>
        <v/>
      </c>
      <c r="H71" s="43">
        <f>IFERROR(MATCH(48,Berechnung!$A$4:$A$53,0),0)</f>
        <v/>
      </c>
      <c r="I71" s="43">
        <f>48-Berechnung!$E$71</f>
        <v/>
      </c>
      <c r="J71" s="43">
        <f>IF($I71&gt;=1,IFERROR(MATCH($I71,$N$1:$N$27,0),0),0)</f>
        <v/>
      </c>
    </row>
    <row r="72" ht="15" customHeight="1">
      <c r="A72" s="51">
        <f>IF($H72&gt;0,49,"")</f>
        <v/>
      </c>
      <c r="B72" s="52">
        <f>IF($H72&gt;0,INDEX(Berechnung!$D$4:$D$53,$H72)&amp;IF(INDEX(Eingabe!$J$43:$J$92,$H72)="",""," – "&amp;INDEX(Eingabe!$J$43:$J$92,$H72))&amp;IF(OR(INDEX(Berechnung!$B$4:$B$53,$H72)="",INDEX(Berechnung!$B$4:$B$53,$H72)=INDEX(Bereiche,1)),""," ("&amp;INDEX(Berechnung!$B$4:$B$53,$H72)&amp;")"),IF($J72&gt;0,INDEX($O$1:$O$27,$J72),""))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IF($H72&gt;0,INDEX(Berechnung!$O$4:$O$53,$H72),IF($J72&gt;0,INDEX($P$1:$P$27,$J72),""))</f>
        <v/>
      </c>
      <c r="H72" s="43">
        <f>IFERROR(MATCH(49,Berechnung!$A$4:$A$53,0),0)</f>
        <v/>
      </c>
      <c r="I72" s="43">
        <f>49-Berechnung!$E$71</f>
        <v/>
      </c>
      <c r="J72" s="43">
        <f>IF($I72&gt;=1,IFERROR(MATCH($I72,$N$1:$N$27,0),0),0)</f>
        <v/>
      </c>
    </row>
    <row r="73" ht="15" customHeight="1">
      <c r="A73" s="51">
        <f>IF($H73&gt;0,50,"")</f>
        <v/>
      </c>
      <c r="B73" s="52">
        <f>IF($H73&gt;0,INDEX(Berechnung!$D$4:$D$53,$H73)&amp;IF(INDEX(Eingabe!$J$43:$J$92,$H73)="",""," – "&amp;INDEX(Eingabe!$J$43:$J$92,$H73))&amp;IF(OR(INDEX(Berechnung!$B$4:$B$53,$H73)="",INDEX(Berechnung!$B$4:$B$53,$H73)=INDEX(Bereiche,1)),""," ("&amp;INDEX(Berechnung!$B$4:$B$53,$H73)&amp;")"),IF($J73&gt;0,INDEX($O$1:$O$27,$J73),""))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IF($H73&gt;0,INDEX(Berechnung!$O$4:$O$53,$H73),IF($J73&gt;0,INDEX($P$1:$P$27,$J73),""))</f>
        <v/>
      </c>
      <c r="H73" s="43">
        <f>IFERROR(MATCH(50,Berechnung!$A$4:$A$53,0),0)</f>
        <v/>
      </c>
      <c r="I73" s="43">
        <f>50-Berechnung!$E$71</f>
        <v/>
      </c>
      <c r="J73" s="43">
        <f>IF($I73&gt;=1,IFERROR(MATCH($I73,$N$1:$N$27,0),0),0)</f>
        <v/>
      </c>
    </row>
    <row r="74" ht="15" customHeight="1">
      <c r="A74" s="51">
        <f>IF($H74&gt;0,51,"")</f>
        <v/>
      </c>
      <c r="B74" s="52">
        <f>IF($H74&gt;0,INDEX(Berechnung!$D$4:$D$53,$H74)&amp;IF(INDEX(Eingabe!$J$43:$J$92,$H74)="",""," – "&amp;INDEX(Eingabe!$J$43:$J$92,$H74))&amp;IF(OR(INDEX(Berechnung!$B$4:$B$53,$H74)="",INDEX(Berechnung!$B$4:$B$53,$H74)=INDEX(Bereiche,1)),""," ("&amp;INDEX(Berechnung!$B$4:$B$53,$H74)&amp;")"),IF($J74&gt;0,INDEX($O$1:$O$27,$J74),""))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IF($H74&gt;0,INDEX(Berechnung!$O$4:$O$53,$H74),IF($J74&gt;0,INDEX($P$1:$P$27,$J74),""))</f>
        <v/>
      </c>
      <c r="H74" s="43">
        <f>IFERROR(MATCH(51,Berechnung!$A$4:$A$53,0),0)</f>
        <v/>
      </c>
      <c r="I74" s="43">
        <f>51-Berechnung!$E$71</f>
        <v/>
      </c>
      <c r="J74" s="43">
        <f>IF($I74&gt;=1,IFERROR(MATCH($I74,$N$1:$N$27,0),0),0)</f>
        <v/>
      </c>
    </row>
    <row r="75" ht="15" customHeight="1">
      <c r="A75" s="51">
        <f>IF($H75&gt;0,52,"")</f>
        <v/>
      </c>
      <c r="B75" s="52">
        <f>IF($H75&gt;0,INDEX(Berechnung!$D$4:$D$53,$H75)&amp;IF(INDEX(Eingabe!$J$43:$J$92,$H75)="",""," – "&amp;INDEX(Eingabe!$J$43:$J$92,$H75))&amp;IF(OR(INDEX(Berechnung!$B$4:$B$53,$H75)="",INDEX(Berechnung!$B$4:$B$53,$H75)=INDEX(Bereiche,1)),""," ("&amp;INDEX(Berechnung!$B$4:$B$53,$H75)&amp;")"),IF($J75&gt;0,INDEX($O$1:$O$27,$J75),""))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IF($H75&gt;0,INDEX(Berechnung!$O$4:$O$53,$H75),IF($J75&gt;0,INDEX($P$1:$P$27,$J75),""))</f>
        <v/>
      </c>
      <c r="H75" s="43">
        <f>IFERROR(MATCH(52,Berechnung!$A$4:$A$53,0),0)</f>
        <v/>
      </c>
      <c r="I75" s="43">
        <f>52-Berechnung!$E$71</f>
        <v/>
      </c>
      <c r="J75" s="43">
        <f>IF($I75&gt;=1,IFERROR(MATCH($I75,$N$1:$N$27,0),0),0)</f>
        <v/>
      </c>
    </row>
    <row r="76" ht="15" customHeight="1">
      <c r="A76" s="51">
        <f>IF($H76&gt;0,53,"")</f>
        <v/>
      </c>
      <c r="B76" s="52">
        <f>IF($H76&gt;0,INDEX(Berechnung!$D$4:$D$53,$H76)&amp;IF(INDEX(Eingabe!$J$43:$J$92,$H76)="",""," – "&amp;INDEX(Eingabe!$J$43:$J$92,$H76))&amp;IF(OR(INDEX(Berechnung!$B$4:$B$53,$H76)="",INDEX(Berechnung!$B$4:$B$53,$H76)=INDEX(Bereiche,1)),""," ("&amp;INDEX(Berechnung!$B$4:$B$53,$H76)&amp;")"),IF($J76&gt;0,INDEX($O$1:$O$27,$J76),""))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IF($H76&gt;0,INDEX(Berechnung!$O$4:$O$53,$H76),IF($J76&gt;0,INDEX($P$1:$P$27,$J76),""))</f>
        <v/>
      </c>
      <c r="H76" s="43">
        <f>IFERROR(MATCH(53,Berechnung!$A$4:$A$53,0),0)</f>
        <v/>
      </c>
      <c r="I76" s="43">
        <f>53-Berechnung!$E$71</f>
        <v/>
      </c>
      <c r="J76" s="43">
        <f>IF($I76&gt;=1,IFERROR(MATCH($I76,$N$1:$N$27,0),0),0)</f>
        <v/>
      </c>
    </row>
    <row r="77" ht="15" customHeight="1">
      <c r="A77" s="51">
        <f>IF($H77&gt;0,54,"")</f>
        <v/>
      </c>
      <c r="B77" s="52">
        <f>IF($H77&gt;0,INDEX(Berechnung!$D$4:$D$53,$H77)&amp;IF(INDEX(Eingabe!$J$43:$J$92,$H77)="",""," – "&amp;INDEX(Eingabe!$J$43:$J$92,$H77))&amp;IF(OR(INDEX(Berechnung!$B$4:$B$53,$H77)="",INDEX(Berechnung!$B$4:$B$53,$H77)=INDEX(Bereiche,1)),""," ("&amp;INDEX(Berechnung!$B$4:$B$53,$H77)&amp;")"),IF($J77&gt;0,INDEX($O$1:$O$27,$J77),""))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IF($H77&gt;0,INDEX(Berechnung!$O$4:$O$53,$H77),IF($J77&gt;0,INDEX($P$1:$P$27,$J77),""))</f>
        <v/>
      </c>
      <c r="H77" s="43">
        <f>IFERROR(MATCH(54,Berechnung!$A$4:$A$53,0),0)</f>
        <v/>
      </c>
      <c r="I77" s="43">
        <f>54-Berechnung!$E$71</f>
        <v/>
      </c>
      <c r="J77" s="43">
        <f>IF($I77&gt;=1,IFERROR(MATCH($I77,$N$1:$N$27,0),0),0)</f>
        <v/>
      </c>
    </row>
    <row r="78" ht="15" customHeight="1">
      <c r="A78" s="51">
        <f>IF($H78&gt;0,55,"")</f>
        <v/>
      </c>
      <c r="B78" s="52">
        <f>IF($H78&gt;0,INDEX(Berechnung!$D$4:$D$53,$H78)&amp;IF(INDEX(Eingabe!$J$43:$J$92,$H78)="",""," – "&amp;INDEX(Eingabe!$J$43:$J$92,$H78))&amp;IF(OR(INDEX(Berechnung!$B$4:$B$53,$H78)="",INDEX(Berechnung!$B$4:$B$53,$H78)=INDEX(Bereiche,1)),""," ("&amp;INDEX(Berechnung!$B$4:$B$53,$H78)&amp;")"),IF($J78&gt;0,INDEX($O$1:$O$27,$J78),""))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IF($H78&gt;0,INDEX(Berechnung!$O$4:$O$53,$H78),IF($J78&gt;0,INDEX($P$1:$P$27,$J78),""))</f>
        <v/>
      </c>
      <c r="H78" s="43">
        <f>IFERROR(MATCH(55,Berechnung!$A$4:$A$53,0),0)</f>
        <v/>
      </c>
      <c r="I78" s="43">
        <f>55-Berechnung!$E$71</f>
        <v/>
      </c>
      <c r="J78" s="43">
        <f>IF($I78&gt;=1,IFERROR(MATCH($I78,$N$1:$N$27,0),0),0)</f>
        <v/>
      </c>
    </row>
    <row r="79" ht="15" customHeight="1">
      <c r="A79" s="51">
        <f>IF($H79&gt;0,56,"")</f>
        <v/>
      </c>
      <c r="B79" s="52">
        <f>IF($H79&gt;0,INDEX(Berechnung!$D$4:$D$53,$H79)&amp;IF(INDEX(Eingabe!$J$43:$J$92,$H79)="",""," – "&amp;INDEX(Eingabe!$J$43:$J$92,$H79))&amp;IF(OR(INDEX(Berechnung!$B$4:$B$53,$H79)="",INDEX(Berechnung!$B$4:$B$53,$H79)=INDEX(Bereiche,1)),""," ("&amp;INDEX(Berechnung!$B$4:$B$53,$H79)&amp;")"),IF($J79&gt;0,INDEX($O$1:$O$27,$J79),""))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IF($H79&gt;0,INDEX(Berechnung!$O$4:$O$53,$H79),IF($J79&gt;0,INDEX($P$1:$P$27,$J79),""))</f>
        <v/>
      </c>
      <c r="H79" s="43">
        <f>IFERROR(MATCH(56,Berechnung!$A$4:$A$53,0),0)</f>
        <v/>
      </c>
      <c r="I79" s="43">
        <f>56-Berechnung!$E$71</f>
        <v/>
      </c>
      <c r="J79" s="43">
        <f>IF($I79&gt;=1,IFERROR(MATCH($I79,$N$1:$N$27,0),0),0)</f>
        <v/>
      </c>
    </row>
    <row r="80" ht="15" customHeight="1">
      <c r="A80" s="51">
        <f>IF($H80&gt;0,57,"")</f>
        <v/>
      </c>
      <c r="B80" s="52">
        <f>IF($H80&gt;0,INDEX(Berechnung!$D$4:$D$53,$H80)&amp;IF(INDEX(Eingabe!$J$43:$J$92,$H80)="",""," – "&amp;INDEX(Eingabe!$J$43:$J$92,$H80))&amp;IF(OR(INDEX(Berechnung!$B$4:$B$53,$H80)="",INDEX(Berechnung!$B$4:$B$53,$H80)=INDEX(Bereiche,1)),""," ("&amp;INDEX(Berechnung!$B$4:$B$53,$H80)&amp;")"),IF($J80&gt;0,INDEX($O$1:$O$27,$J80),""))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IF($H80&gt;0,INDEX(Berechnung!$O$4:$O$53,$H80),IF($J80&gt;0,INDEX($P$1:$P$27,$J80),""))</f>
        <v/>
      </c>
      <c r="H80" s="43">
        <f>IFERROR(MATCH(57,Berechnung!$A$4:$A$53,0),0)</f>
        <v/>
      </c>
      <c r="I80" s="43">
        <f>57-Berechnung!$E$71</f>
        <v/>
      </c>
      <c r="J80" s="43">
        <f>IF($I80&gt;=1,IFERROR(MATCH($I80,$N$1:$N$27,0),0),0)</f>
        <v/>
      </c>
    </row>
    <row r="81" ht="15" customHeight="1">
      <c r="A81" s="51">
        <f>IF($H81&gt;0,58,"")</f>
        <v/>
      </c>
      <c r="B81" s="52">
        <f>IF($H81&gt;0,INDEX(Berechnung!$D$4:$D$53,$H81)&amp;IF(INDEX(Eingabe!$J$43:$J$92,$H81)="",""," – "&amp;INDEX(Eingabe!$J$43:$J$92,$H81))&amp;IF(OR(INDEX(Berechnung!$B$4:$B$53,$H81)="",INDEX(Berechnung!$B$4:$B$53,$H81)=INDEX(Bereiche,1)),""," ("&amp;INDEX(Berechnung!$B$4:$B$53,$H81)&amp;")"),IF($J81&gt;0,INDEX($O$1:$O$27,$J81),""))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IF($H81&gt;0,INDEX(Berechnung!$O$4:$O$53,$H81),IF($J81&gt;0,INDEX($P$1:$P$27,$J81),""))</f>
        <v/>
      </c>
      <c r="H81" s="43">
        <f>IFERROR(MATCH(58,Berechnung!$A$4:$A$53,0),0)</f>
        <v/>
      </c>
      <c r="I81" s="43">
        <f>58-Berechnung!$E$71</f>
        <v/>
      </c>
      <c r="J81" s="43">
        <f>IF($I81&gt;=1,IFERROR(MATCH($I81,$N$1:$N$27,0),0),0)</f>
        <v/>
      </c>
    </row>
    <row r="82" ht="15" customHeight="1">
      <c r="A82" s="51">
        <f>IF($H82&gt;0,59,"")</f>
        <v/>
      </c>
      <c r="B82" s="52">
        <f>IF($H82&gt;0,INDEX(Berechnung!$D$4:$D$53,$H82)&amp;IF(INDEX(Eingabe!$J$43:$J$92,$H82)="",""," – "&amp;INDEX(Eingabe!$J$43:$J$92,$H82))&amp;IF(OR(INDEX(Berechnung!$B$4:$B$53,$H82)="",INDEX(Berechnung!$B$4:$B$53,$H82)=INDEX(Bereiche,1)),""," ("&amp;INDEX(Berechnung!$B$4:$B$53,$H82)&amp;")"),IF($J82&gt;0,INDEX($O$1:$O$27,$J82),""))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IF($H82&gt;0,INDEX(Berechnung!$O$4:$O$53,$H82),IF($J82&gt;0,INDEX($P$1:$P$27,$J82),""))</f>
        <v/>
      </c>
      <c r="H82" s="43">
        <f>IFERROR(MATCH(59,Berechnung!$A$4:$A$53,0),0)</f>
        <v/>
      </c>
      <c r="I82" s="43">
        <f>59-Berechnung!$E$71</f>
        <v/>
      </c>
      <c r="J82" s="43">
        <f>IF($I82&gt;=1,IFERROR(MATCH($I82,$N$1:$N$27,0),0),0)</f>
        <v/>
      </c>
    </row>
    <row r="83" ht="15" customHeight="1">
      <c r="A83" s="51">
        <f>IF($H83&gt;0,60,"")</f>
        <v/>
      </c>
      <c r="B83" s="52">
        <f>IF($H83&gt;0,INDEX(Berechnung!$D$4:$D$53,$H83)&amp;IF(INDEX(Eingabe!$J$43:$J$92,$H83)="",""," – "&amp;INDEX(Eingabe!$J$43:$J$92,$H83))&amp;IF(OR(INDEX(Berechnung!$B$4:$B$53,$H83)="",INDEX(Berechnung!$B$4:$B$53,$H83)=INDEX(Bereiche,1)),""," ("&amp;INDEX(Berechnung!$B$4:$B$53,$H83)&amp;")"),IF($J83&gt;0,INDEX($O$1:$O$27,$J83),""))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IF($H83&gt;0,INDEX(Berechnung!$O$4:$O$53,$H83),IF($J83&gt;0,INDEX($P$1:$P$27,$J83),""))</f>
        <v/>
      </c>
      <c r="H83" s="43">
        <f>IFERROR(MATCH(60,Berechnung!$A$4:$A$53,0),0)</f>
        <v/>
      </c>
      <c r="I83" s="43">
        <f>60-Berechnung!$E$71</f>
        <v/>
      </c>
      <c r="J83" s="43">
        <f>IF($I83&gt;=1,IFERROR(MATCH($I83,$N$1:$N$27,0),0),0)</f>
        <v/>
      </c>
    </row>
    <row r="84" ht="15" customHeight="1">
      <c r="A84" s="51">
        <f>IF($H84&gt;0,61,"")</f>
        <v/>
      </c>
      <c r="B84" s="52">
        <f>IF($H84&gt;0,INDEX(Berechnung!$D$4:$D$53,$H84)&amp;IF(INDEX(Eingabe!$J$43:$J$92,$H84)="",""," – "&amp;INDEX(Eingabe!$J$43:$J$92,$H84))&amp;IF(OR(INDEX(Berechnung!$B$4:$B$53,$H84)="",INDEX(Berechnung!$B$4:$B$53,$H84)=INDEX(Bereiche,1)),""," ("&amp;INDEX(Berechnung!$B$4:$B$53,$H84)&amp;")"),IF($J84&gt;0,INDEX($O$1:$O$27,$J84),""))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IF($H84&gt;0,INDEX(Berechnung!$O$4:$O$53,$H84),IF($J84&gt;0,INDEX($P$1:$P$27,$J84),""))</f>
        <v/>
      </c>
      <c r="H84" s="43">
        <f>IFERROR(MATCH(61,Berechnung!$A$4:$A$53,0),0)</f>
        <v/>
      </c>
      <c r="I84" s="43">
        <f>61-Berechnung!$E$71</f>
        <v/>
      </c>
      <c r="J84" s="43">
        <f>IF($I84&gt;=1,IFERROR(MATCH($I84,$N$1:$N$27,0),0),0)</f>
        <v/>
      </c>
    </row>
    <row r="85" ht="15" customHeight="1">
      <c r="A85" s="51">
        <f>IF($H85&gt;0,62,"")</f>
        <v/>
      </c>
      <c r="B85" s="52">
        <f>IF($H85&gt;0,INDEX(Berechnung!$D$4:$D$53,$H85)&amp;IF(INDEX(Eingabe!$J$43:$J$92,$H85)="",""," – "&amp;INDEX(Eingabe!$J$43:$J$92,$H85))&amp;IF(OR(INDEX(Berechnung!$B$4:$B$53,$H85)="",INDEX(Berechnung!$B$4:$B$53,$H85)=INDEX(Bereiche,1)),""," ("&amp;INDEX(Berechnung!$B$4:$B$53,$H85)&amp;")"),IF($J85&gt;0,INDEX($O$1:$O$27,$J85),""))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IF($H85&gt;0,INDEX(Berechnung!$O$4:$O$53,$H85),IF($J85&gt;0,INDEX($P$1:$P$27,$J85),""))</f>
        <v/>
      </c>
      <c r="H85" s="43">
        <f>IFERROR(MATCH(62,Berechnung!$A$4:$A$53,0),0)</f>
        <v/>
      </c>
      <c r="I85" s="43">
        <f>62-Berechnung!$E$71</f>
        <v/>
      </c>
      <c r="J85" s="43">
        <f>IF($I85&gt;=1,IFERROR(MATCH($I85,$N$1:$N$27,0),0),0)</f>
        <v/>
      </c>
    </row>
    <row r="86" ht="15" customHeight="1">
      <c r="A86" s="51">
        <f>IF($H86&gt;0,63,"")</f>
        <v/>
      </c>
      <c r="B86" s="52">
        <f>IF($H86&gt;0,INDEX(Berechnung!$D$4:$D$53,$H86)&amp;IF(INDEX(Eingabe!$J$43:$J$92,$H86)="",""," – "&amp;INDEX(Eingabe!$J$43:$J$92,$H86))&amp;IF(OR(INDEX(Berechnung!$B$4:$B$53,$H86)="",INDEX(Berechnung!$B$4:$B$53,$H86)=INDEX(Bereiche,1)),""," ("&amp;INDEX(Berechnung!$B$4:$B$53,$H86)&amp;")"),IF($J86&gt;0,INDEX($O$1:$O$27,$J86),""))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IF($H86&gt;0,INDEX(Berechnung!$O$4:$O$53,$H86),IF($J86&gt;0,INDEX($P$1:$P$27,$J86),""))</f>
        <v/>
      </c>
      <c r="H86" s="43">
        <f>IFERROR(MATCH(63,Berechnung!$A$4:$A$53,0),0)</f>
        <v/>
      </c>
      <c r="I86" s="43">
        <f>63-Berechnung!$E$71</f>
        <v/>
      </c>
      <c r="J86" s="43">
        <f>IF($I86&gt;=1,IFERROR(MATCH($I86,$N$1:$N$27,0),0),0)</f>
        <v/>
      </c>
    </row>
    <row r="87" ht="15" customHeight="1">
      <c r="A87" s="51">
        <f>IF($H87&gt;0,64,"")</f>
        <v/>
      </c>
      <c r="B87" s="52">
        <f>IF($H87&gt;0,INDEX(Berechnung!$D$4:$D$53,$H87)&amp;IF(INDEX(Eingabe!$J$43:$J$92,$H87)="",""," – "&amp;INDEX(Eingabe!$J$43:$J$92,$H87))&amp;IF(OR(INDEX(Berechnung!$B$4:$B$53,$H87)="",INDEX(Berechnung!$B$4:$B$53,$H87)=INDEX(Bereiche,1)),""," ("&amp;INDEX(Berechnung!$B$4:$B$53,$H87)&amp;")"),IF($J87&gt;0,INDEX($O$1:$O$27,$J87),""))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IF($H87&gt;0,INDEX(Berechnung!$O$4:$O$53,$H87),IF($J87&gt;0,INDEX($P$1:$P$27,$J87),""))</f>
        <v/>
      </c>
      <c r="H87" s="43">
        <f>IFERROR(MATCH(64,Berechnung!$A$4:$A$53,0),0)</f>
        <v/>
      </c>
      <c r="I87" s="43">
        <f>64-Berechnung!$E$71</f>
        <v/>
      </c>
      <c r="J87" s="43">
        <f>IF($I87&gt;=1,IFERROR(MATCH($I87,$N$1:$N$27,0),0),0)</f>
        <v/>
      </c>
    </row>
    <row r="88" ht="15" customHeight="1">
      <c r="A88" s="51">
        <f>IF($H88&gt;0,65,"")</f>
        <v/>
      </c>
      <c r="B88" s="52">
        <f>IF($H88&gt;0,INDEX(Berechnung!$D$4:$D$53,$H88)&amp;IF(INDEX(Eingabe!$J$43:$J$92,$H88)="",""," – "&amp;INDEX(Eingabe!$J$43:$J$92,$H88))&amp;IF(OR(INDEX(Berechnung!$B$4:$B$53,$H88)="",INDEX(Berechnung!$B$4:$B$53,$H88)=INDEX(Bereiche,1)),""," ("&amp;INDEX(Berechnung!$B$4:$B$53,$H88)&amp;")"),IF($J88&gt;0,INDEX($O$1:$O$27,$J88),""))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IF($H88&gt;0,INDEX(Berechnung!$O$4:$O$53,$H88),IF($J88&gt;0,INDEX($P$1:$P$27,$J88),""))</f>
        <v/>
      </c>
      <c r="H88" s="43">
        <f>IFERROR(MATCH(65,Berechnung!$A$4:$A$53,0),0)</f>
        <v/>
      </c>
      <c r="I88" s="43">
        <f>65-Berechnung!$E$71</f>
        <v/>
      </c>
      <c r="J88" s="43">
        <f>IF($I88&gt;=1,IFERROR(MATCH($I88,$N$1:$N$27,0),0),0)</f>
        <v/>
      </c>
    </row>
    <row r="89" ht="15" customHeight="1">
      <c r="A89" s="51">
        <f>IF($H89&gt;0,66,"")</f>
        <v/>
      </c>
      <c r="B89" s="52">
        <f>IF($H89&gt;0,INDEX(Berechnung!$D$4:$D$53,$H89)&amp;IF(INDEX(Eingabe!$J$43:$J$92,$H89)="",""," – "&amp;INDEX(Eingabe!$J$43:$J$92,$H89))&amp;IF(OR(INDEX(Berechnung!$B$4:$B$53,$H89)="",INDEX(Berechnung!$B$4:$B$53,$H89)=INDEX(Bereiche,1)),""," ("&amp;INDEX(Berechnung!$B$4:$B$53,$H89)&amp;")"),IF($J89&gt;0,INDEX($O$1:$O$27,$J89),""))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IF($H89&gt;0,INDEX(Berechnung!$O$4:$O$53,$H89),IF($J89&gt;0,INDEX($P$1:$P$27,$J89),""))</f>
        <v/>
      </c>
      <c r="H89" s="43">
        <f>IFERROR(MATCH(66,Berechnung!$A$4:$A$53,0),0)</f>
        <v/>
      </c>
      <c r="I89" s="43">
        <f>66-Berechnung!$E$71</f>
        <v/>
      </c>
      <c r="J89" s="43">
        <f>IF($I89&gt;=1,IFERROR(MATCH($I89,$N$1:$N$27,0),0),0)</f>
        <v/>
      </c>
    </row>
    <row r="90" ht="15" customHeight="1">
      <c r="A90" s="51">
        <f>IF($H90&gt;0,67,"")</f>
        <v/>
      </c>
      <c r="B90" s="52">
        <f>IF($H90&gt;0,INDEX(Berechnung!$D$4:$D$53,$H90)&amp;IF(INDEX(Eingabe!$J$43:$J$92,$H90)="",""," – "&amp;INDEX(Eingabe!$J$43:$J$92,$H90))&amp;IF(OR(INDEX(Berechnung!$B$4:$B$53,$H90)="",INDEX(Berechnung!$B$4:$B$53,$H90)=INDEX(Bereiche,1)),""," ("&amp;INDEX(Berechnung!$B$4:$B$53,$H90)&amp;")"),IF($J90&gt;0,INDEX($O$1:$O$27,$J90),""))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IF($H90&gt;0,INDEX(Berechnung!$O$4:$O$53,$H90),IF($J90&gt;0,INDEX($P$1:$P$27,$J90),""))</f>
        <v/>
      </c>
      <c r="H90" s="43">
        <f>IFERROR(MATCH(67,Berechnung!$A$4:$A$53,0),0)</f>
        <v/>
      </c>
      <c r="I90" s="43">
        <f>67-Berechnung!$E$71</f>
        <v/>
      </c>
      <c r="J90" s="43">
        <f>IF($I90&gt;=1,IFERROR(MATCH($I90,$N$1:$N$27,0),0),0)</f>
        <v/>
      </c>
    </row>
    <row r="91" ht="15" customHeight="1">
      <c r="A91" s="51">
        <f>IF($H91&gt;0,68,"")</f>
        <v/>
      </c>
      <c r="B91" s="52">
        <f>IF($H91&gt;0,INDEX(Berechnung!$D$4:$D$53,$H91)&amp;IF(INDEX(Eingabe!$J$43:$J$92,$H91)="",""," – "&amp;INDEX(Eingabe!$J$43:$J$92,$H91))&amp;IF(OR(INDEX(Berechnung!$B$4:$B$53,$H91)="",INDEX(Berechnung!$B$4:$B$53,$H91)=INDEX(Bereiche,1)),""," ("&amp;INDEX(Berechnung!$B$4:$B$53,$H91)&amp;")"),IF($J91&gt;0,INDEX($O$1:$O$27,$J91),""))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IF($H91&gt;0,INDEX(Berechnung!$O$4:$O$53,$H91),IF($J91&gt;0,INDEX($P$1:$P$27,$J91),""))</f>
        <v/>
      </c>
      <c r="H91" s="43">
        <f>IFERROR(MATCH(68,Berechnung!$A$4:$A$53,0),0)</f>
        <v/>
      </c>
      <c r="I91" s="43">
        <f>68-Berechnung!$E$71</f>
        <v/>
      </c>
      <c r="J91" s="43">
        <f>IF($I91&gt;=1,IFERROR(MATCH($I91,$N$1:$N$27,0),0),0)</f>
        <v/>
      </c>
    </row>
    <row r="92" ht="15" customHeight="1">
      <c r="A92" s="51">
        <f>IF($H92&gt;0,69,"")</f>
        <v/>
      </c>
      <c r="B92" s="52">
        <f>IF($H92&gt;0,INDEX(Berechnung!$D$4:$D$53,$H92)&amp;IF(INDEX(Eingabe!$J$43:$J$92,$H92)="",""," – "&amp;INDEX(Eingabe!$J$43:$J$92,$H92))&amp;IF(OR(INDEX(Berechnung!$B$4:$B$53,$H92)="",INDEX(Berechnung!$B$4:$B$53,$H92)=INDEX(Bereiche,1)),""," ("&amp;INDEX(Berechnung!$B$4:$B$53,$H92)&amp;")"),IF($J92&gt;0,INDEX($O$1:$O$27,$J92),""))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IF($H92&gt;0,INDEX(Berechnung!$O$4:$O$53,$H92),IF($J92&gt;0,INDEX($P$1:$P$27,$J92),""))</f>
        <v/>
      </c>
      <c r="H92" s="43">
        <f>IFERROR(MATCH(69,Berechnung!$A$4:$A$53,0),0)</f>
        <v/>
      </c>
      <c r="I92" s="43">
        <f>69-Berechnung!$E$71</f>
        <v/>
      </c>
      <c r="J92" s="43">
        <f>IF($I92&gt;=1,IFERROR(MATCH($I92,$N$1:$N$27,0),0),0)</f>
        <v/>
      </c>
    </row>
    <row r="93" ht="15" customHeight="1">
      <c r="A93" s="51">
        <f>IF($H93&gt;0,70,"")</f>
        <v/>
      </c>
      <c r="B93" s="52">
        <f>IF($H93&gt;0,INDEX(Berechnung!$D$4:$D$53,$H93)&amp;IF(INDEX(Eingabe!$J$43:$J$92,$H93)="",""," – "&amp;INDEX(Eingabe!$J$43:$J$92,$H93))&amp;IF(OR(INDEX(Berechnung!$B$4:$B$53,$H93)="",INDEX(Berechnung!$B$4:$B$53,$H93)=INDEX(Bereiche,1)),""," ("&amp;INDEX(Berechnung!$B$4:$B$53,$H93)&amp;")"),IF($J93&gt;0,INDEX($O$1:$O$27,$J93),""))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IF($H93&gt;0,INDEX(Berechnung!$O$4:$O$53,$H93),IF($J93&gt;0,INDEX($P$1:$P$27,$J93),""))</f>
        <v/>
      </c>
      <c r="H93" s="43">
        <f>IFERROR(MATCH(70,Berechnung!$A$4:$A$53,0),0)</f>
        <v/>
      </c>
      <c r="I93" s="43">
        <f>70-Berechnung!$E$71</f>
        <v/>
      </c>
      <c r="J93" s="43">
        <f>IF($I93&gt;=1,IFERROR(MATCH($I93,$N$1:$N$27,0),0),0)</f>
        <v/>
      </c>
    </row>
    <row r="94" ht="15" customHeight="1">
      <c r="A94" s="51">
        <f>IF($H94&gt;0,71,"")</f>
        <v/>
      </c>
      <c r="B94" s="52">
        <f>IF($H94&gt;0,INDEX(Berechnung!$D$4:$D$53,$H94)&amp;IF(INDEX(Eingabe!$J$43:$J$92,$H94)="",""," – "&amp;INDEX(Eingabe!$J$43:$J$92,$H94))&amp;IF(OR(INDEX(Berechnung!$B$4:$B$53,$H94)="",INDEX(Berechnung!$B$4:$B$53,$H94)=INDEX(Bereiche,1)),""," ("&amp;INDEX(Berechnung!$B$4:$B$53,$H94)&amp;")"),IF($J94&gt;0,INDEX($O$1:$O$27,$J94),""))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IF($H94&gt;0,INDEX(Berechnung!$O$4:$O$53,$H94),IF($J94&gt;0,INDEX($P$1:$P$27,$J94),""))</f>
        <v/>
      </c>
      <c r="H94" s="43">
        <f>IFERROR(MATCH(71,Berechnung!$A$4:$A$53,0),0)</f>
        <v/>
      </c>
      <c r="I94" s="43">
        <f>71-Berechnung!$E$71</f>
        <v/>
      </c>
      <c r="J94" s="43">
        <f>IF($I94&gt;=1,IFERROR(MATCH($I94,$N$1:$N$27,0),0),0)</f>
        <v/>
      </c>
    </row>
    <row r="95" ht="15" customHeight="1">
      <c r="A95" s="51">
        <f>IF($H95&gt;0,72,"")</f>
        <v/>
      </c>
      <c r="B95" s="52">
        <f>IF($H95&gt;0,INDEX(Berechnung!$D$4:$D$53,$H95)&amp;IF(INDEX(Eingabe!$J$43:$J$92,$H95)="",""," – "&amp;INDEX(Eingabe!$J$43:$J$92,$H95))&amp;IF(OR(INDEX(Berechnung!$B$4:$B$53,$H95)="",INDEX(Berechnung!$B$4:$B$53,$H95)=INDEX(Bereiche,1)),""," ("&amp;INDEX(Berechnung!$B$4:$B$53,$H95)&amp;")"),IF($J95&gt;0,INDEX($O$1:$O$27,$J95),""))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IF($H95&gt;0,INDEX(Berechnung!$O$4:$O$53,$H95),IF($J95&gt;0,INDEX($P$1:$P$27,$J95),""))</f>
        <v/>
      </c>
      <c r="H95" s="43">
        <f>IFERROR(MATCH(72,Berechnung!$A$4:$A$53,0),0)</f>
        <v/>
      </c>
      <c r="I95" s="43">
        <f>72-Berechnung!$E$71</f>
        <v/>
      </c>
      <c r="J95" s="43">
        <f>IF($I95&gt;=1,IFERROR(MATCH($I95,$N$1:$N$27,0),0),0)</f>
        <v/>
      </c>
    </row>
    <row r="96" ht="15" customHeight="1">
      <c r="A96" s="51">
        <f>IF($H96&gt;0,73,"")</f>
        <v/>
      </c>
      <c r="B96" s="52">
        <f>IF($H96&gt;0,INDEX(Berechnung!$D$4:$D$53,$H96)&amp;IF(INDEX(Eingabe!$J$43:$J$92,$H96)="",""," – "&amp;INDEX(Eingabe!$J$43:$J$92,$H96))&amp;IF(OR(INDEX(Berechnung!$B$4:$B$53,$H96)="",INDEX(Berechnung!$B$4:$B$53,$H96)=INDEX(Bereiche,1)),""," ("&amp;INDEX(Berechnung!$B$4:$B$53,$H96)&amp;")"),IF($J96&gt;0,INDEX($O$1:$O$27,$J96),""))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IF($H96&gt;0,INDEX(Berechnung!$O$4:$O$53,$H96),IF($J96&gt;0,INDEX($P$1:$P$27,$J96),""))</f>
        <v/>
      </c>
      <c r="H96" s="43">
        <f>IFERROR(MATCH(73,Berechnung!$A$4:$A$53,0),0)</f>
        <v/>
      </c>
      <c r="I96" s="43">
        <f>73-Berechnung!$E$71</f>
        <v/>
      </c>
      <c r="J96" s="43">
        <f>IF($I96&gt;=1,IFERROR(MATCH($I96,$N$1:$N$27,0),0),0)</f>
        <v/>
      </c>
    </row>
    <row r="97" ht="15" customHeight="1">
      <c r="A97" s="51">
        <f>IF($H97&gt;0,74,"")</f>
        <v/>
      </c>
      <c r="B97" s="52">
        <f>IF($H97&gt;0,INDEX(Berechnung!$D$4:$D$53,$H97)&amp;IF(INDEX(Eingabe!$J$43:$J$92,$H97)="",""," – "&amp;INDEX(Eingabe!$J$43:$J$92,$H97))&amp;IF(OR(INDEX(Berechnung!$B$4:$B$53,$H97)="",INDEX(Berechnung!$B$4:$B$53,$H97)=INDEX(Bereiche,1)),""," ("&amp;INDEX(Berechnung!$B$4:$B$53,$H97)&amp;")"),IF($J97&gt;0,INDEX($O$1:$O$27,$J97),""))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IF($H97&gt;0,INDEX(Berechnung!$O$4:$O$53,$H97),IF($J97&gt;0,INDEX($P$1:$P$27,$J97),""))</f>
        <v/>
      </c>
      <c r="H97" s="43">
        <f>IFERROR(MATCH(74,Berechnung!$A$4:$A$53,0),0)</f>
        <v/>
      </c>
      <c r="I97" s="43">
        <f>74-Berechnung!$E$71</f>
        <v/>
      </c>
      <c r="J97" s="43">
        <f>IF($I97&gt;=1,IFERROR(MATCH($I97,$N$1:$N$27,0),0),0)</f>
        <v/>
      </c>
    </row>
    <row r="98" ht="15" customHeight="1">
      <c r="A98" s="51">
        <f>IF($H98&gt;0,75,"")</f>
        <v/>
      </c>
      <c r="B98" s="52">
        <f>IF($H98&gt;0,INDEX(Berechnung!$D$4:$D$53,$H98)&amp;IF(INDEX(Eingabe!$J$43:$J$92,$H98)="",""," – "&amp;INDEX(Eingabe!$J$43:$J$92,$H98))&amp;IF(OR(INDEX(Berechnung!$B$4:$B$53,$H98)="",INDEX(Berechnung!$B$4:$B$53,$H98)=INDEX(Bereiche,1)),""," ("&amp;INDEX(Berechnung!$B$4:$B$53,$H98)&amp;")"),IF($J98&gt;0,INDEX($O$1:$O$27,$J98),""))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IF($H98&gt;0,INDEX(Berechnung!$O$4:$O$53,$H98),IF($J98&gt;0,INDEX($P$1:$P$27,$J98),""))</f>
        <v/>
      </c>
      <c r="H98" s="43">
        <f>IFERROR(MATCH(75,Berechnung!$A$4:$A$53,0),0)</f>
        <v/>
      </c>
      <c r="I98" s="43">
        <f>75-Berechnung!$E$71</f>
        <v/>
      </c>
      <c r="J98" s="43">
        <f>IF($I98&gt;=1,IFERROR(MATCH($I98,$N$1:$N$27,0),0),0)</f>
        <v/>
      </c>
    </row>
    <row r="99" ht="15" customHeight="1">
      <c r="A99" s="51">
        <f>IF($H99&gt;0,76,"")</f>
        <v/>
      </c>
      <c r="B99" s="52">
        <f>IF($H99&gt;0,INDEX(Berechnung!$D$4:$D$53,$H99)&amp;IF(INDEX(Eingabe!$J$43:$J$92,$H99)="",""," – "&amp;INDEX(Eingabe!$J$43:$J$92,$H99))&amp;IF(OR(INDEX(Berechnung!$B$4:$B$53,$H99)="",INDEX(Berechnung!$B$4:$B$53,$H99)=INDEX(Bereiche,1)),""," ("&amp;INDEX(Berechnung!$B$4:$B$53,$H99)&amp;")"),IF($J99&gt;0,INDEX($O$1:$O$27,$J99),""))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IF($H99&gt;0,INDEX(Berechnung!$O$4:$O$53,$H99),IF($J99&gt;0,INDEX($P$1:$P$27,$J99),""))</f>
        <v/>
      </c>
      <c r="H99" s="43">
        <f>IFERROR(MATCH(76,Berechnung!$A$4:$A$53,0),0)</f>
        <v/>
      </c>
      <c r="I99" s="43">
        <f>76-Berechnung!$E$71</f>
        <v/>
      </c>
      <c r="J99" s="43">
        <f>IF($I99&gt;=1,IFERROR(MATCH($I99,$N$1:$N$27,0),0),0)</f>
        <v/>
      </c>
    </row>
    <row r="100" ht="15" customHeight="1">
      <c r="A100" s="51">
        <f>IF($H100&gt;0,77,"")</f>
        <v/>
      </c>
      <c r="B100" s="52">
        <f>IF($H100&gt;0,INDEX(Berechnung!$D$4:$D$53,$H100)&amp;IF(INDEX(Eingabe!$J$43:$J$92,$H100)="",""," – "&amp;INDEX(Eingabe!$J$43:$J$92,$H100))&amp;IF(OR(INDEX(Berechnung!$B$4:$B$53,$H100)="",INDEX(Berechnung!$B$4:$B$53,$H100)=INDEX(Bereiche,1)),""," ("&amp;INDEX(Berechnung!$B$4:$B$53,$H100)&amp;")"),IF($J100&gt;0,INDEX($O$1:$O$27,$J100),""))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IF($H100&gt;0,INDEX(Berechnung!$O$4:$O$53,$H100),IF($J100&gt;0,INDEX($P$1:$P$27,$J100),""))</f>
        <v/>
      </c>
      <c r="H100" s="43">
        <f>IFERROR(MATCH(77,Berechnung!$A$4:$A$53,0),0)</f>
        <v/>
      </c>
      <c r="I100" s="43">
        <f>77-Berechnung!$E$71</f>
        <v/>
      </c>
      <c r="J100" s="43">
        <f>IF($I100&gt;=1,IFERROR(MATCH($I100,$N$1:$N$27,0),0),0)</f>
        <v/>
      </c>
    </row>
    <row r="101" ht="15" customHeight="1">
      <c r="A101" s="51">
        <f>IF($H101&gt;0,78,"")</f>
        <v/>
      </c>
      <c r="B101" s="52">
        <f>IF($H101&gt;0,INDEX(Berechnung!$D$4:$D$53,$H101)&amp;IF(INDEX(Eingabe!$J$43:$J$92,$H101)="",""," – "&amp;INDEX(Eingabe!$J$43:$J$92,$H101))&amp;IF(OR(INDEX(Berechnung!$B$4:$B$53,$H101)="",INDEX(Berechnung!$B$4:$B$53,$H101)=INDEX(Bereiche,1)),""," ("&amp;INDEX(Berechnung!$B$4:$B$53,$H101)&amp;")"),IF($J101&gt;0,INDEX($O$1:$O$27,$J101),""))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IF($H101&gt;0,INDEX(Berechnung!$O$4:$O$53,$H101),IF($J101&gt;0,INDEX($P$1:$P$27,$J101),""))</f>
        <v/>
      </c>
      <c r="H101" s="43">
        <f>IFERROR(MATCH(78,Berechnung!$A$4:$A$53,0),0)</f>
        <v/>
      </c>
      <c r="I101" s="43">
        <f>78-Berechnung!$E$71</f>
        <v/>
      </c>
      <c r="J101" s="43">
        <f>IF($I101&gt;=1,IFERROR(MATCH($I101,$N$1:$N$27,0),0),0)</f>
        <v/>
      </c>
    </row>
    <row r="102" ht="15" customHeight="1">
      <c r="A102" s="51">
        <f>IF($H102&gt;0,79,"")</f>
        <v/>
      </c>
      <c r="B102" s="52">
        <f>IF($H102&gt;0,INDEX(Berechnung!$D$4:$D$53,$H102)&amp;IF(INDEX(Eingabe!$J$43:$J$92,$H102)="",""," – "&amp;INDEX(Eingabe!$J$43:$J$92,$H102))&amp;IF(OR(INDEX(Berechnung!$B$4:$B$53,$H102)="",INDEX(Berechnung!$B$4:$B$53,$H102)=INDEX(Bereiche,1)),""," ("&amp;INDEX(Berechnung!$B$4:$B$53,$H102)&amp;")"),IF($J102&gt;0,INDEX($O$1:$O$27,$J102),""))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IF($H102&gt;0,INDEX(Berechnung!$O$4:$O$53,$H102),IF($J102&gt;0,INDEX($P$1:$P$27,$J102),""))</f>
        <v/>
      </c>
      <c r="H102" s="43">
        <f>IFERROR(MATCH(79,Berechnung!$A$4:$A$53,0),0)</f>
        <v/>
      </c>
      <c r="I102" s="43">
        <f>79-Berechnung!$E$71</f>
        <v/>
      </c>
      <c r="J102" s="43">
        <f>IF($I102&gt;=1,IFERROR(MATCH($I102,$N$1:$N$27,0),0),0)</f>
        <v/>
      </c>
    </row>
    <row r="103" ht="15" customHeight="1">
      <c r="A103" s="51">
        <f>IF($H103&gt;0,80,"")</f>
        <v/>
      </c>
      <c r="B103" s="52">
        <f>IF($H103&gt;0,INDEX(Berechnung!$D$4:$D$53,$H103)&amp;IF(INDEX(Eingabe!$J$43:$J$92,$H103)="",""," – "&amp;INDEX(Eingabe!$J$43:$J$92,$H103))&amp;IF(OR(INDEX(Berechnung!$B$4:$B$53,$H103)="",INDEX(Berechnung!$B$4:$B$53,$H103)=INDEX(Bereiche,1)),""," ("&amp;INDEX(Berechnung!$B$4:$B$53,$H103)&amp;")"),IF($J103&gt;0,INDEX($O$1:$O$27,$J103),""))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IF($H103&gt;0,INDEX(Berechnung!$O$4:$O$53,$H103),IF($J103&gt;0,INDEX($P$1:$P$27,$J103),""))</f>
        <v/>
      </c>
      <c r="H103" s="43">
        <f>IFERROR(MATCH(80,Berechnung!$A$4:$A$53,0),0)</f>
        <v/>
      </c>
      <c r="I103" s="43">
        <f>80-Berechnung!$E$71</f>
        <v/>
      </c>
      <c r="J103" s="43">
        <f>IF($I103&gt;=1,IFERROR(MATCH($I103,$N$1:$N$27,0),0),0)</f>
        <v/>
      </c>
    </row>
    <row r="104" ht="15" customHeight="1">
      <c r="A104" s="51">
        <f>IF($H104&gt;0,81,"")</f>
        <v/>
      </c>
      <c r="B104" s="52">
        <f>IF($H104&gt;0,INDEX(Berechnung!$D$4:$D$53,$H104)&amp;IF(INDEX(Eingabe!$J$43:$J$92,$H104)="",""," – "&amp;INDEX(Eingabe!$J$43:$J$92,$H104))&amp;IF(OR(INDEX(Berechnung!$B$4:$B$53,$H104)="",INDEX(Berechnung!$B$4:$B$53,$H104)=INDEX(Bereiche,1)),""," ("&amp;INDEX(Berechnung!$B$4:$B$53,$H104)&amp;")"),IF($J104&gt;0,INDEX($O$1:$O$27,$J104),""))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IF($H104&gt;0,INDEX(Berechnung!$O$4:$O$53,$H104),IF($J104&gt;0,INDEX($P$1:$P$27,$J104),""))</f>
        <v/>
      </c>
      <c r="H104" s="43">
        <f>IFERROR(MATCH(81,Berechnung!$A$4:$A$53,0),0)</f>
        <v/>
      </c>
      <c r="I104" s="43">
        <f>81-Berechnung!$E$71</f>
        <v/>
      </c>
      <c r="J104" s="43">
        <f>IF($I104&gt;=1,IFERROR(MATCH($I104,$N$1:$N$27,0),0),0)</f>
        <v/>
      </c>
    </row>
    <row r="105" ht="15" customHeight="1">
      <c r="A105" s="51">
        <f>IF($H105&gt;0,82,"")</f>
        <v/>
      </c>
      <c r="B105" s="52">
        <f>IF($H105&gt;0,INDEX(Berechnung!$D$4:$D$53,$H105)&amp;IF(INDEX(Eingabe!$J$43:$J$92,$H105)="",""," – "&amp;INDEX(Eingabe!$J$43:$J$92,$H105))&amp;IF(OR(INDEX(Berechnung!$B$4:$B$53,$H105)="",INDEX(Berechnung!$B$4:$B$53,$H105)=INDEX(Bereiche,1)),""," ("&amp;INDEX(Berechnung!$B$4:$B$53,$H105)&amp;")"),IF($J105&gt;0,INDEX($O$1:$O$27,$J105),""))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IF($H105&gt;0,INDEX(Berechnung!$O$4:$O$53,$H105),IF($J105&gt;0,INDEX($P$1:$P$27,$J105),""))</f>
        <v/>
      </c>
      <c r="H105" s="43">
        <f>IFERROR(MATCH(82,Berechnung!$A$4:$A$53,0),0)</f>
        <v/>
      </c>
      <c r="I105" s="43">
        <f>82-Berechnung!$E$71</f>
        <v/>
      </c>
      <c r="J105" s="43">
        <f>IF($I105&gt;=1,IFERROR(MATCH($I105,$N$1:$N$27,0),0),0)</f>
        <v/>
      </c>
    </row>
    <row r="106" ht="15" customHeight="1">
      <c r="A106" s="51">
        <f>IF($H106&gt;0,83,"")</f>
        <v/>
      </c>
      <c r="B106" s="52">
        <f>IF($H106&gt;0,INDEX(Berechnung!$D$4:$D$53,$H106)&amp;IF(INDEX(Eingabe!$J$43:$J$92,$H106)="",""," – "&amp;INDEX(Eingabe!$J$43:$J$92,$H106))&amp;IF(OR(INDEX(Berechnung!$B$4:$B$53,$H106)="",INDEX(Berechnung!$B$4:$B$53,$H106)=INDEX(Bereiche,1)),""," ("&amp;INDEX(Berechnung!$B$4:$B$53,$H106)&amp;")"),IF($J106&gt;0,INDEX($O$1:$O$27,$J106),""))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IF($H106&gt;0,INDEX(Berechnung!$O$4:$O$53,$H106),IF($J106&gt;0,INDEX($P$1:$P$27,$J106),""))</f>
        <v/>
      </c>
      <c r="H106" s="43">
        <f>IFERROR(MATCH(83,Berechnung!$A$4:$A$53,0),0)</f>
        <v/>
      </c>
      <c r="I106" s="43">
        <f>83-Berechnung!$E$71</f>
        <v/>
      </c>
      <c r="J106" s="43">
        <f>IF($I106&gt;=1,IFERROR(MATCH($I106,$N$1:$N$27,0),0),0)</f>
        <v/>
      </c>
    </row>
    <row r="107" ht="15" customHeight="1">
      <c r="A107" s="51">
        <f>IF($H107&gt;0,84,"")</f>
        <v/>
      </c>
      <c r="B107" s="52">
        <f>IF($H107&gt;0,INDEX(Berechnung!$D$4:$D$53,$H107)&amp;IF(INDEX(Eingabe!$J$43:$J$92,$H107)="",""," – "&amp;INDEX(Eingabe!$J$43:$J$92,$H107))&amp;IF(OR(INDEX(Berechnung!$B$4:$B$53,$H107)="",INDEX(Berechnung!$B$4:$B$53,$H107)=INDEX(Bereiche,1)),""," ("&amp;INDEX(Berechnung!$B$4:$B$53,$H107)&amp;")"),IF($J107&gt;0,INDEX($O$1:$O$27,$J107),""))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IF($H107&gt;0,INDEX(Berechnung!$O$4:$O$53,$H107),IF($J107&gt;0,INDEX($P$1:$P$27,$J107),""))</f>
        <v/>
      </c>
      <c r="H107" s="43">
        <f>IFERROR(MATCH(84,Berechnung!$A$4:$A$53,0),0)</f>
        <v/>
      </c>
      <c r="I107" s="43">
        <f>84-Berechnung!$E$71</f>
        <v/>
      </c>
      <c r="J107" s="43">
        <f>IF($I107&gt;=1,IFERROR(MATCH($I107,$N$1:$N$27,0),0),0)</f>
        <v/>
      </c>
    </row>
    <row r="108" ht="15" customHeight="1">
      <c r="A108" s="51">
        <f>IF($H108&gt;0,85,"")</f>
        <v/>
      </c>
      <c r="B108" s="52">
        <f>IF($H108&gt;0,INDEX(Berechnung!$D$4:$D$53,$H108)&amp;IF(INDEX(Eingabe!$J$43:$J$92,$H108)="",""," – "&amp;INDEX(Eingabe!$J$43:$J$92,$H108))&amp;IF(OR(INDEX(Berechnung!$B$4:$B$53,$H108)="",INDEX(Berechnung!$B$4:$B$53,$H108)=INDEX(Bereiche,1)),""," ("&amp;INDEX(Berechnung!$B$4:$B$53,$H108)&amp;")"),IF($J108&gt;0,INDEX($O$1:$O$27,$J108),""))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IF($H108&gt;0,INDEX(Berechnung!$O$4:$O$53,$H108),IF($J108&gt;0,INDEX($P$1:$P$27,$J108),""))</f>
        <v/>
      </c>
      <c r="H108" s="43">
        <f>IFERROR(MATCH(85,Berechnung!$A$4:$A$53,0),0)</f>
        <v/>
      </c>
      <c r="I108" s="43">
        <f>85-Berechnung!$E$71</f>
        <v/>
      </c>
      <c r="J108" s="43">
        <f>IF($I108&gt;=1,IFERROR(MATCH($I108,$N$1:$N$27,0),0),0)</f>
        <v/>
      </c>
    </row>
    <row r="109" ht="15" customHeight="1">
      <c r="A109" s="51">
        <f>IF($H109&gt;0,86,"")</f>
        <v/>
      </c>
      <c r="B109" s="52">
        <f>IF($H109&gt;0,INDEX(Berechnung!$D$4:$D$53,$H109)&amp;IF(INDEX(Eingabe!$J$43:$J$92,$H109)="",""," – "&amp;INDEX(Eingabe!$J$43:$J$92,$H109))&amp;IF(OR(INDEX(Berechnung!$B$4:$B$53,$H109)="",INDEX(Berechnung!$B$4:$B$53,$H109)=INDEX(Bereiche,1)),""," ("&amp;INDEX(Berechnung!$B$4:$B$53,$H109)&amp;")"),IF($J109&gt;0,INDEX($O$1:$O$27,$J109),""))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IF($H109&gt;0,INDEX(Berechnung!$O$4:$O$53,$H109),IF($J109&gt;0,INDEX($P$1:$P$27,$J109),""))</f>
        <v/>
      </c>
      <c r="H109" s="43">
        <f>IFERROR(MATCH(86,Berechnung!$A$4:$A$53,0),0)</f>
        <v/>
      </c>
      <c r="I109" s="43">
        <f>86-Berechnung!$E$71</f>
        <v/>
      </c>
      <c r="J109" s="43">
        <f>IF($I109&gt;=1,IFERROR(MATCH($I109,$N$1:$N$27,0),0),0)</f>
        <v/>
      </c>
    </row>
    <row r="110" ht="15" customHeight="1">
      <c r="A110" s="51">
        <f>IF($H110&gt;0,87,"")</f>
        <v/>
      </c>
      <c r="B110" s="52">
        <f>IF($H110&gt;0,INDEX(Berechnung!$D$4:$D$53,$H110)&amp;IF(INDEX(Eingabe!$J$43:$J$92,$H110)="",""," – "&amp;INDEX(Eingabe!$J$43:$J$92,$H110))&amp;IF(OR(INDEX(Berechnung!$B$4:$B$53,$H110)="",INDEX(Berechnung!$B$4:$B$53,$H110)=INDEX(Bereiche,1)),""," ("&amp;INDEX(Berechnung!$B$4:$B$53,$H110)&amp;")"),IF($J110&gt;0,INDEX($O$1:$O$27,$J110),""))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IF($H110&gt;0,INDEX(Berechnung!$O$4:$O$53,$H110),IF($J110&gt;0,INDEX($P$1:$P$27,$J110),""))</f>
        <v/>
      </c>
      <c r="H110" s="43">
        <f>IFERROR(MATCH(87,Berechnung!$A$4:$A$53,0),0)</f>
        <v/>
      </c>
      <c r="I110" s="43">
        <f>87-Berechnung!$E$71</f>
        <v/>
      </c>
      <c r="J110" s="43">
        <f>IF($I110&gt;=1,IFERROR(MATCH($I110,$N$1:$N$27,0),0),0)</f>
        <v/>
      </c>
    </row>
    <row r="111" ht="15" customHeight="1">
      <c r="A111" s="51">
        <f>IF($H111&gt;0,88,"")</f>
        <v/>
      </c>
      <c r="B111" s="52">
        <f>IF($H111&gt;0,INDEX(Berechnung!$D$4:$D$53,$H111)&amp;IF(INDEX(Eingabe!$J$43:$J$92,$H111)="",""," – "&amp;INDEX(Eingabe!$J$43:$J$92,$H111))&amp;IF(OR(INDEX(Berechnung!$B$4:$B$53,$H111)="",INDEX(Berechnung!$B$4:$B$53,$H111)=INDEX(Bereiche,1)),""," ("&amp;INDEX(Berechnung!$B$4:$B$53,$H111)&amp;")"),IF($J111&gt;0,INDEX($O$1:$O$27,$J111),""))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IF($H111&gt;0,INDEX(Berechnung!$O$4:$O$53,$H111),IF($J111&gt;0,INDEX($P$1:$P$27,$J111),""))</f>
        <v/>
      </c>
      <c r="H111" s="43">
        <f>IFERROR(MATCH(88,Berechnung!$A$4:$A$53,0),0)</f>
        <v/>
      </c>
      <c r="I111" s="43">
        <f>88-Berechnung!$E$71</f>
        <v/>
      </c>
      <c r="J111" s="43">
        <f>IF($I111&gt;=1,IFERROR(MATCH($I111,$N$1:$N$27,0),0),0)</f>
        <v/>
      </c>
    </row>
    <row r="112" ht="15" customHeight="1">
      <c r="A112" s="51">
        <f>IF($H112&gt;0,89,"")</f>
        <v/>
      </c>
      <c r="B112" s="52">
        <f>IF($H112&gt;0,INDEX(Berechnung!$D$4:$D$53,$H112)&amp;IF(INDEX(Eingabe!$J$43:$J$92,$H112)="",""," – "&amp;INDEX(Eingabe!$J$43:$J$92,$H112))&amp;IF(OR(INDEX(Berechnung!$B$4:$B$53,$H112)="",INDEX(Berechnung!$B$4:$B$53,$H112)=INDEX(Bereiche,1)),""," ("&amp;INDEX(Berechnung!$B$4:$B$53,$H112)&amp;")"),IF($J112&gt;0,INDEX($O$1:$O$27,$J112),""))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IF($H112&gt;0,INDEX(Berechnung!$O$4:$O$53,$H112),IF($J112&gt;0,INDEX($P$1:$P$27,$J112),""))</f>
        <v/>
      </c>
      <c r="H112" s="43">
        <f>IFERROR(MATCH(89,Berechnung!$A$4:$A$53,0),0)</f>
        <v/>
      </c>
      <c r="I112" s="43">
        <f>89-Berechnung!$E$71</f>
        <v/>
      </c>
      <c r="J112" s="43">
        <f>IF($I112&gt;=1,IFERROR(MATCH($I112,$N$1:$N$27,0),0),0)</f>
        <v/>
      </c>
    </row>
    <row r="113" ht="15" customHeight="1">
      <c r="A113" s="51">
        <f>IF($H113&gt;0,90,"")</f>
        <v/>
      </c>
      <c r="B113" s="52">
        <f>IF($H113&gt;0,INDEX(Berechnung!$D$4:$D$53,$H113)&amp;IF(INDEX(Eingabe!$J$43:$J$92,$H113)="",""," – "&amp;INDEX(Eingabe!$J$43:$J$92,$H113))&amp;IF(OR(INDEX(Berechnung!$B$4:$B$53,$H113)="",INDEX(Berechnung!$B$4:$B$53,$H113)=INDEX(Bereiche,1)),""," ("&amp;INDEX(Berechnung!$B$4:$B$53,$H113)&amp;")"),IF($J113&gt;0,INDEX($O$1:$O$27,$J113),""))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IF($H113&gt;0,INDEX(Berechnung!$O$4:$O$53,$H113),IF($J113&gt;0,INDEX($P$1:$P$27,$J113),""))</f>
        <v/>
      </c>
      <c r="H113" s="43">
        <f>IFERROR(MATCH(90,Berechnung!$A$4:$A$53,0),0)</f>
        <v/>
      </c>
      <c r="I113" s="43">
        <f>90-Berechnung!$E$71</f>
        <v/>
      </c>
      <c r="J113" s="43">
        <f>IF($I113&gt;=1,IFERROR(MATCH($I113,$N$1:$N$27,0),0),0)</f>
        <v/>
      </c>
    </row>
    <row r="114" ht="15" customHeight="1">
      <c r="A114" s="51">
        <f>IF($H114&gt;0,91,"")</f>
        <v/>
      </c>
      <c r="B114" s="52">
        <f>IF($H114&gt;0,INDEX(Berechnung!$D$4:$D$53,$H114)&amp;IF(INDEX(Eingabe!$J$43:$J$92,$H114)="",""," – "&amp;INDEX(Eingabe!$J$43:$J$92,$H114))&amp;IF(OR(INDEX(Berechnung!$B$4:$B$53,$H114)="",INDEX(Berechnung!$B$4:$B$53,$H114)=INDEX(Bereiche,1)),""," ("&amp;INDEX(Berechnung!$B$4:$B$53,$H114)&amp;")"),IF($J114&gt;0,INDEX($O$1:$O$27,$J114),""))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IF($H114&gt;0,INDEX(Berechnung!$O$4:$O$53,$H114),IF($J114&gt;0,INDEX($P$1:$P$27,$J114),""))</f>
        <v/>
      </c>
      <c r="H114" s="43">
        <f>IFERROR(MATCH(91,Berechnung!$A$4:$A$53,0),0)</f>
        <v/>
      </c>
      <c r="I114" s="43">
        <f>91-Berechnung!$E$71</f>
        <v/>
      </c>
      <c r="J114" s="43">
        <f>IF($I114&gt;=1,IFERROR(MATCH($I114,$N$1:$N$27,0),0),0)</f>
        <v/>
      </c>
    </row>
    <row r="115" ht="15" customHeight="1">
      <c r="A115" s="51">
        <f>IF($H115&gt;0,92,"")</f>
        <v/>
      </c>
      <c r="B115" s="52">
        <f>IF($H115&gt;0,INDEX(Berechnung!$D$4:$D$53,$H115)&amp;IF(INDEX(Eingabe!$J$43:$J$92,$H115)="",""," – "&amp;INDEX(Eingabe!$J$43:$J$92,$H115))&amp;IF(OR(INDEX(Berechnung!$B$4:$B$53,$H115)="",INDEX(Berechnung!$B$4:$B$53,$H115)=INDEX(Bereiche,1)),""," ("&amp;INDEX(Berechnung!$B$4:$B$53,$H115)&amp;")"),IF($J115&gt;0,INDEX($O$1:$O$27,$J115),""))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IF($H115&gt;0,INDEX(Berechnung!$O$4:$O$53,$H115),IF($J115&gt;0,INDEX($P$1:$P$27,$J115),""))</f>
        <v/>
      </c>
      <c r="H115" s="43">
        <f>IFERROR(MATCH(92,Berechnung!$A$4:$A$53,0),0)</f>
        <v/>
      </c>
      <c r="I115" s="43">
        <f>92-Berechnung!$E$71</f>
        <v/>
      </c>
      <c r="J115" s="43">
        <f>IF($I115&gt;=1,IFERROR(MATCH($I115,$N$1:$N$27,0),0),0)</f>
        <v/>
      </c>
    </row>
    <row r="116" ht="15" customHeight="1">
      <c r="A116" s="51">
        <f>IF($H116&gt;0,93,"")</f>
        <v/>
      </c>
      <c r="B116" s="52">
        <f>IF($H116&gt;0,INDEX(Berechnung!$D$4:$D$53,$H116)&amp;IF(INDEX(Eingabe!$J$43:$J$92,$H116)="",""," – "&amp;INDEX(Eingabe!$J$43:$J$92,$H116))&amp;IF(OR(INDEX(Berechnung!$B$4:$B$53,$H116)="",INDEX(Berechnung!$B$4:$B$53,$H116)=INDEX(Bereiche,1)),""," ("&amp;INDEX(Berechnung!$B$4:$B$53,$H116)&amp;")"),IF($J116&gt;0,INDEX($O$1:$O$27,$J116),""))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IF($H116&gt;0,INDEX(Berechnung!$O$4:$O$53,$H116),IF($J116&gt;0,INDEX($P$1:$P$27,$J116),""))</f>
        <v/>
      </c>
      <c r="H116" s="43">
        <f>IFERROR(MATCH(93,Berechnung!$A$4:$A$53,0),0)</f>
        <v/>
      </c>
      <c r="I116" s="43">
        <f>93-Berechnung!$E$71</f>
        <v/>
      </c>
      <c r="J116" s="43">
        <f>IF($I116&gt;=1,IFERROR(MATCH($I116,$N$1:$N$27,0),0),0)</f>
        <v/>
      </c>
    </row>
    <row r="117" ht="15" customHeight="1">
      <c r="A117" s="51">
        <f>IF($H117&gt;0,94,"")</f>
        <v/>
      </c>
      <c r="B117" s="52">
        <f>IF($H117&gt;0,INDEX(Berechnung!$D$4:$D$53,$H117)&amp;IF(INDEX(Eingabe!$J$43:$J$92,$H117)="",""," – "&amp;INDEX(Eingabe!$J$43:$J$92,$H117))&amp;IF(OR(INDEX(Berechnung!$B$4:$B$53,$H117)="",INDEX(Berechnung!$B$4:$B$53,$H117)=INDEX(Bereiche,1)),""," ("&amp;INDEX(Berechnung!$B$4:$B$53,$H117)&amp;")"),IF($J117&gt;0,INDEX($O$1:$O$27,$J117),""))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IF($H117&gt;0,INDEX(Berechnung!$O$4:$O$53,$H117),IF($J117&gt;0,INDEX($P$1:$P$27,$J117),""))</f>
        <v/>
      </c>
      <c r="H117" s="43">
        <f>IFERROR(MATCH(94,Berechnung!$A$4:$A$53,0),0)</f>
        <v/>
      </c>
      <c r="I117" s="43">
        <f>94-Berechnung!$E$71</f>
        <v/>
      </c>
      <c r="J117" s="43">
        <f>IF($I117&gt;=1,IFERROR(MATCH($I117,$N$1:$N$27,0),0),0)</f>
        <v/>
      </c>
    </row>
    <row r="118" ht="15" customHeight="1">
      <c r="A118" s="51">
        <f>IF($H118&gt;0,95,"")</f>
        <v/>
      </c>
      <c r="B118" s="52">
        <f>IF($H118&gt;0,INDEX(Berechnung!$D$4:$D$53,$H118)&amp;IF(INDEX(Eingabe!$J$43:$J$92,$H118)="",""," – "&amp;INDEX(Eingabe!$J$43:$J$92,$H118))&amp;IF(OR(INDEX(Berechnung!$B$4:$B$53,$H118)="",INDEX(Berechnung!$B$4:$B$53,$H118)=INDEX(Bereiche,1)),""," ("&amp;INDEX(Berechnung!$B$4:$B$53,$H118)&amp;")"),IF($J118&gt;0,INDEX($O$1:$O$27,$J118),""))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IF($H118&gt;0,INDEX(Berechnung!$O$4:$O$53,$H118),IF($J118&gt;0,INDEX($P$1:$P$27,$J118),""))</f>
        <v/>
      </c>
      <c r="H118" s="43">
        <f>IFERROR(MATCH(95,Berechnung!$A$4:$A$53,0),0)</f>
        <v/>
      </c>
      <c r="I118" s="43">
        <f>95-Berechnung!$E$71</f>
        <v/>
      </c>
      <c r="J118" s="43">
        <f>IF($I118&gt;=1,IFERROR(MATCH($I118,$N$1:$N$27,0),0),0)</f>
        <v/>
      </c>
    </row>
    <row r="119" ht="15" customHeight="1">
      <c r="A119" s="51">
        <f>IF($H119&gt;0,96,"")</f>
        <v/>
      </c>
      <c r="B119" s="52">
        <f>IF($H119&gt;0,INDEX(Berechnung!$D$4:$D$53,$H119)&amp;IF(INDEX(Eingabe!$J$43:$J$92,$H119)="",""," – "&amp;INDEX(Eingabe!$J$43:$J$92,$H119))&amp;IF(OR(INDEX(Berechnung!$B$4:$B$53,$H119)="",INDEX(Berechnung!$B$4:$B$53,$H119)=INDEX(Bereiche,1)),""," ("&amp;INDEX(Berechnung!$B$4:$B$53,$H119)&amp;")"),IF($J119&gt;0,INDEX($O$1:$O$27,$J119),""))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IF($H119&gt;0,INDEX(Berechnung!$O$4:$O$53,$H119),IF($J119&gt;0,INDEX($P$1:$P$27,$J119),""))</f>
        <v/>
      </c>
      <c r="H119" s="43">
        <f>IFERROR(MATCH(96,Berechnung!$A$4:$A$53,0),0)</f>
        <v/>
      </c>
      <c r="I119" s="43">
        <f>96-Berechnung!$E$71</f>
        <v/>
      </c>
      <c r="J119" s="43">
        <f>IF($I119&gt;=1,IFERROR(MATCH($I119,$N$1:$N$27,0),0),0)</f>
        <v/>
      </c>
    </row>
    <row r="120" ht="15" customHeight="1">
      <c r="A120" s="51">
        <f>IF($H120&gt;0,97,"")</f>
        <v/>
      </c>
      <c r="B120" s="52">
        <f>IF($H120&gt;0,INDEX(Berechnung!$D$4:$D$53,$H120)&amp;IF(INDEX(Eingabe!$J$43:$J$92,$H120)="",""," – "&amp;INDEX(Eingabe!$J$43:$J$92,$H120))&amp;IF(OR(INDEX(Berechnung!$B$4:$B$53,$H120)="",INDEX(Berechnung!$B$4:$B$53,$H120)=INDEX(Bereiche,1)),""," ("&amp;INDEX(Berechnung!$B$4:$B$53,$H120)&amp;")"),IF($J120&gt;0,INDEX($O$1:$O$27,$J120),""))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IF($H120&gt;0,INDEX(Berechnung!$O$4:$O$53,$H120),IF($J120&gt;0,INDEX($P$1:$P$27,$J120),""))</f>
        <v/>
      </c>
      <c r="H120" s="43">
        <f>IFERROR(MATCH(97,Berechnung!$A$4:$A$53,0),0)</f>
        <v/>
      </c>
      <c r="I120" s="43">
        <f>97-Berechnung!$E$71</f>
        <v/>
      </c>
      <c r="J120" s="43">
        <f>IF($I120&gt;=1,IFERROR(MATCH($I120,$N$1:$N$27,0),0),0)</f>
        <v/>
      </c>
    </row>
    <row r="121" ht="15" customHeight="1">
      <c r="A121" s="51">
        <f>IF($H121&gt;0,98,"")</f>
        <v/>
      </c>
      <c r="B121" s="52">
        <f>IF($H121&gt;0,INDEX(Berechnung!$D$4:$D$53,$H121)&amp;IF(INDEX(Eingabe!$J$43:$J$92,$H121)="",""," – "&amp;INDEX(Eingabe!$J$43:$J$92,$H121))&amp;IF(OR(INDEX(Berechnung!$B$4:$B$53,$H121)="",INDEX(Berechnung!$B$4:$B$53,$H121)=INDEX(Bereiche,1)),""," ("&amp;INDEX(Berechnung!$B$4:$B$53,$H121)&amp;")"),IF($J121&gt;0,INDEX($O$1:$O$27,$J121),""))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IF($H121&gt;0,INDEX(Berechnung!$O$4:$O$53,$H121),IF($J121&gt;0,INDEX($P$1:$P$27,$J121),""))</f>
        <v/>
      </c>
      <c r="H121" s="43">
        <f>IFERROR(MATCH(98,Berechnung!$A$4:$A$53,0),0)</f>
        <v/>
      </c>
      <c r="I121" s="43">
        <f>98-Berechnung!$E$71</f>
        <v/>
      </c>
      <c r="J121" s="43">
        <f>IF($I121&gt;=1,IFERROR(MATCH($I121,$N$1:$N$27,0),0),0)</f>
        <v/>
      </c>
    </row>
    <row r="122" ht="15" customHeight="1">
      <c r="A122" s="51">
        <f>IF($H122&gt;0,99,"")</f>
        <v/>
      </c>
      <c r="B122" s="52">
        <f>IF($H122&gt;0,INDEX(Berechnung!$D$4:$D$53,$H122)&amp;IF(INDEX(Eingabe!$J$43:$J$92,$H122)="",""," – "&amp;INDEX(Eingabe!$J$43:$J$92,$H122))&amp;IF(OR(INDEX(Berechnung!$B$4:$B$53,$H122)="",INDEX(Berechnung!$B$4:$B$53,$H122)=INDEX(Bereiche,1)),""," ("&amp;INDEX(Berechnung!$B$4:$B$53,$H122)&amp;")"),IF($J122&gt;0,INDEX($O$1:$O$27,$J122),""))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IF($H122&gt;0,INDEX(Berechnung!$O$4:$O$53,$H122),IF($J122&gt;0,INDEX($P$1:$P$27,$J122),""))</f>
        <v/>
      </c>
      <c r="H122" s="43">
        <f>IFERROR(MATCH(99,Berechnung!$A$4:$A$53,0),0)</f>
        <v/>
      </c>
      <c r="I122" s="43">
        <f>99-Berechnung!$E$71</f>
        <v/>
      </c>
      <c r="J122" s="43">
        <f>IF($I122&gt;=1,IFERROR(MATCH($I122,$N$1:$N$27,0),0),0)</f>
        <v/>
      </c>
    </row>
    <row r="123" ht="15" customHeight="1">
      <c r="A123" s="51">
        <f>IF($H123&gt;0,100,"")</f>
        <v/>
      </c>
      <c r="B123" s="52">
        <f>IF($H123&gt;0,INDEX(Berechnung!$D$4:$D$53,$H123)&amp;IF(INDEX(Eingabe!$J$43:$J$92,$H123)="",""," – "&amp;INDEX(Eingabe!$J$43:$J$92,$H123))&amp;IF(OR(INDEX(Berechnung!$B$4:$B$53,$H123)="",INDEX(Berechnung!$B$4:$B$53,$H123)=INDEX(Bereiche,1)),""," ("&amp;INDEX(Berechnung!$B$4:$B$53,$H123)&amp;")"),IF($J123&gt;0,INDEX($O$1:$O$27,$J123),""))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IF($H123&gt;0,INDEX(Berechnung!$O$4:$O$53,$H123),IF($J123&gt;0,INDEX($P$1:$P$27,$J123),""))</f>
        <v/>
      </c>
      <c r="H123" s="43">
        <f>IFERROR(MATCH(100,Berechnung!$A$4:$A$53,0),0)</f>
        <v/>
      </c>
      <c r="I123" s="43">
        <f>100-Berechnung!$E$71</f>
        <v/>
      </c>
      <c r="J123" s="43">
        <f>IF($I123&gt;=1,IFERROR(MATCH($I123,$N$1:$N$27,0),0),0)</f>
        <v/>
      </c>
    </row>
    <row r="124" ht="15" customHeight="1">
      <c r="A124" s="51">
        <f>IF($H124&gt;0,101,"")</f>
        <v/>
      </c>
      <c r="B124" s="52">
        <f>IF($H124&gt;0,INDEX(Berechnung!$D$4:$D$53,$H124)&amp;IF(INDEX(Eingabe!$J$43:$J$92,$H124)="",""," – "&amp;INDEX(Eingabe!$J$43:$J$92,$H124))&amp;IF(OR(INDEX(Berechnung!$B$4:$B$53,$H124)="",INDEX(Berechnung!$B$4:$B$53,$H124)=INDEX(Bereiche,1)),""," ("&amp;INDEX(Berechnung!$B$4:$B$53,$H124)&amp;")"),IF($J124&gt;0,INDEX($O$1:$O$27,$J124),""))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IF($H124&gt;0,INDEX(Berechnung!$O$4:$O$53,$H124),IF($J124&gt;0,INDEX($P$1:$P$27,$J124),""))</f>
        <v/>
      </c>
      <c r="H124" s="43">
        <f>IFERROR(MATCH(101,Berechnung!$A$4:$A$53,0),0)</f>
        <v/>
      </c>
      <c r="I124" s="43">
        <f>101-Berechnung!$E$71</f>
        <v/>
      </c>
      <c r="J124" s="43">
        <f>IF($I124&gt;=1,IFERROR(MATCH($I124,$N$1:$N$27,0),0),0)</f>
        <v/>
      </c>
    </row>
    <row r="125" ht="15" customHeight="1">
      <c r="A125" s="51">
        <f>IF($H125&gt;0,102,"")</f>
        <v/>
      </c>
      <c r="B125" s="52">
        <f>IF($H125&gt;0,INDEX(Berechnung!$D$4:$D$53,$H125)&amp;IF(INDEX(Eingabe!$J$43:$J$92,$H125)="",""," – "&amp;INDEX(Eingabe!$J$43:$J$92,$H125))&amp;IF(OR(INDEX(Berechnung!$B$4:$B$53,$H125)="",INDEX(Berechnung!$B$4:$B$53,$H125)=INDEX(Bereiche,1)),""," ("&amp;INDEX(Berechnung!$B$4:$B$53,$H125)&amp;")"),IF($J125&gt;0,INDEX($O$1:$O$27,$J125),""))</f>
        <v/>
      </c>
      <c r="C125" s="53">
        <f>IF($H125&gt;0,INDEX(Berechnung!$E$4:$E$53,$H125),"")</f>
        <v/>
      </c>
      <c r="D125" s="51">
        <f>IF($H125&gt;0,INDEX(Berechnung!$F$4:$F$53,$H125),"")</f>
        <v/>
      </c>
      <c r="E125" s="54">
        <f>IF($H125&gt;0,INDEX(Berechnung!$P$4:$P$53,$H125),"")</f>
        <v/>
      </c>
      <c r="F125" s="54">
        <f>IF($H125&gt;0,INDEX(Berechnung!$O$4:$O$53,$H125),IF($J125&gt;0,INDEX($P$1:$P$27,$J125),""))</f>
        <v/>
      </c>
      <c r="H125" s="43">
        <f>IFERROR(MATCH(102,Berechnung!$A$4:$A$53,0),0)</f>
        <v/>
      </c>
      <c r="I125" s="43">
        <f>102-Berechnung!$E$71</f>
        <v/>
      </c>
      <c r="J125" s="43">
        <f>IF($I125&gt;=1,IFERROR(MATCH($I125,$N$1:$N$27,0),0),0)</f>
        <v/>
      </c>
    </row>
    <row r="126" ht="15" customHeight="1">
      <c r="A126" s="51">
        <f>IF($H126&gt;0,103,"")</f>
        <v/>
      </c>
      <c r="B126" s="52">
        <f>IF($H126&gt;0,INDEX(Berechnung!$D$4:$D$53,$H126)&amp;IF(INDEX(Eingabe!$J$43:$J$92,$H126)="",""," – "&amp;INDEX(Eingabe!$J$43:$J$92,$H126))&amp;IF(OR(INDEX(Berechnung!$B$4:$B$53,$H126)="",INDEX(Berechnung!$B$4:$B$53,$H126)=INDEX(Bereiche,1)),""," ("&amp;INDEX(Berechnung!$B$4:$B$53,$H126)&amp;")"),IF($J126&gt;0,INDEX($O$1:$O$27,$J126),""))</f>
        <v/>
      </c>
      <c r="C126" s="53">
        <f>IF($H126&gt;0,INDEX(Berechnung!$E$4:$E$53,$H126),"")</f>
        <v/>
      </c>
      <c r="D126" s="51">
        <f>IF($H126&gt;0,INDEX(Berechnung!$F$4:$F$53,$H126),"")</f>
        <v/>
      </c>
      <c r="E126" s="54">
        <f>IF($H126&gt;0,INDEX(Berechnung!$P$4:$P$53,$H126),"")</f>
        <v/>
      </c>
      <c r="F126" s="54">
        <f>IF($H126&gt;0,INDEX(Berechnung!$O$4:$O$53,$H126),IF($J126&gt;0,INDEX($P$1:$P$27,$J126),""))</f>
        <v/>
      </c>
      <c r="H126" s="43">
        <f>IFERROR(MATCH(103,Berechnung!$A$4:$A$53,0),0)</f>
        <v/>
      </c>
      <c r="I126" s="43">
        <f>103-Berechnung!$E$71</f>
        <v/>
      </c>
      <c r="J126" s="43">
        <f>IF($I126&gt;=1,IFERROR(MATCH($I126,$N$1:$N$27,0),0),0)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">
    <mergeCell ref="C18:F18"/>
    <mergeCell ref="C17:F17"/>
    <mergeCell ref="C16:F16"/>
    <mergeCell ref="A22:F22"/>
    <mergeCell ref="C19:F19"/>
    <mergeCell ref="D1:F6"/>
    <mergeCell ref="A21:F21"/>
  </mergeCells>
  <conditionalFormatting sqref="A22:F22">
    <cfRule type="expression" priority="1" dxfId="3">
      <formula>$H$2&gt;0</formula>
    </cfRule>
  </conditionalFormatting>
  <conditionalFormatting sqref="A24:F126">
    <cfRule type="expression" priority="2" dxfId="0">
      <formula>AND($J24&gt;=2,$J24&lt;=7,$H$2&gt;0)</formula>
    </cfRule>
    <cfRule type="expression" priority="3" dxfId="4">
      <formula>$H24&gt;0</formula>
    </cfRule>
  </conditionalFormatting>
  <conditionalFormatting sqref="B24:F126">
    <cfRule type="expression" priority="4" dxfId="5">
      <formula>$I24=$N$1+1</formula>
    </cfRule>
    <cfRule type="expression" priority="5" dxfId="6">
      <formula>OR($J24=4,$J24=6)</formula>
    </cfRule>
    <cfRule type="expression" priority="7" dxfId="7">
      <formula>AND($J24&gt;=14,$J24&lt;=21)</formula>
    </cfRule>
    <cfRule type="expression" priority="8" dxfId="8">
      <formula>$J24=27</formula>
    </cfRule>
  </conditionalFormatting>
  <conditionalFormatting sqref="F24:F126">
    <cfRule type="expression" priority="6" dxfId="9">
      <formula>OR($J24=4,$J24=6)</formula>
    </cfRule>
  </conditionalFormatting>
  <conditionalFormatting sqref="A24:B126">
    <cfRule type="expression" priority="9" dxfId="10">
      <formula>$J24=25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Maurer und Betonbauer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Bauteil / Geschoss</t>
        </is>
      </c>
      <c r="I3" s="55" t="inlineStr">
        <is>
          <t>Kategorien</t>
        </is>
      </c>
    </row>
    <row r="4">
      <c r="A4" s="10" t="inlineStr">
        <is>
          <t>Erdarbeiten und Gründung</t>
        </is>
      </c>
      <c r="B4" s="10" t="inlineStr">
        <is>
          <t>Baugrube ausheben</t>
        </is>
      </c>
      <c r="C4" s="10" t="inlineStr">
        <is>
          <t>m³</t>
        </is>
      </c>
      <c r="D4" s="16" t="n">
        <v>0</v>
      </c>
      <c r="E4" s="24" t="n">
        <v>0.25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Objekt</t>
        </is>
      </c>
      <c r="I4" s="10" t="inlineStr">
        <is>
          <t>Erdarbeiten und Gründung</t>
        </is>
      </c>
    </row>
    <row r="5">
      <c r="A5" s="10" t="inlineStr">
        <is>
          <t>Erdarbeiten und Gründung</t>
        </is>
      </c>
      <c r="B5" s="10" t="inlineStr">
        <is>
          <t>Streifenfundament C25/30 herstellen</t>
        </is>
      </c>
      <c r="C5" s="10" t="inlineStr">
        <is>
          <t>m³</t>
        </is>
      </c>
      <c r="D5" s="16" t="n">
        <v>148</v>
      </c>
      <c r="E5" s="24" t="n">
        <v>2.2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Fundament</t>
        </is>
      </c>
      <c r="I5" s="10" t="inlineStr">
        <is>
          <t>Mauerwerk</t>
        </is>
      </c>
    </row>
    <row r="6">
      <c r="A6" s="10" t="inlineStr">
        <is>
          <t>Erdarbeiten und Gründung</t>
        </is>
      </c>
      <c r="B6" s="10" t="inlineStr">
        <is>
          <t>Sauberkeitsschicht einbauen</t>
        </is>
      </c>
      <c r="C6" s="10" t="inlineStr">
        <is>
          <t>m²</t>
        </is>
      </c>
      <c r="D6" s="16" t="n">
        <v>8.4</v>
      </c>
      <c r="E6" s="24" t="n">
        <v>0.15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Bodenplatte</t>
        </is>
      </c>
      <c r="I6" s="10" t="inlineStr">
        <is>
          <t>Beton und Stahlbeton</t>
        </is>
      </c>
    </row>
    <row r="7">
      <c r="A7" s="10" t="inlineStr">
        <is>
          <t>Mauerwerk</t>
        </is>
      </c>
      <c r="B7" s="10" t="inlineStr">
        <is>
          <t>Poroton 36,5 cm mauern</t>
        </is>
      </c>
      <c r="C7" s="10" t="inlineStr">
        <is>
          <t>m²</t>
        </is>
      </c>
      <c r="D7" s="16" t="n">
        <v>62</v>
      </c>
      <c r="E7" s="24" t="n">
        <v>1.1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Keller</t>
        </is>
      </c>
      <c r="I7" s="10" t="inlineStr">
        <is>
          <t>Decken</t>
        </is>
      </c>
    </row>
    <row r="8">
      <c r="A8" s="10" t="inlineStr">
        <is>
          <t>Mauerwerk</t>
        </is>
      </c>
      <c r="B8" s="10" t="inlineStr">
        <is>
          <t>Kalksandstein 17,5 cm mauern</t>
        </is>
      </c>
      <c r="C8" s="10" t="inlineStr">
        <is>
          <t>m²</t>
        </is>
      </c>
      <c r="D8" s="16" t="n">
        <v>38</v>
      </c>
      <c r="E8" s="24" t="n">
        <v>0.85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Erdgeschoss</t>
        </is>
      </c>
      <c r="I8" s="10" t="inlineStr">
        <is>
          <t>Putz und Estrich</t>
        </is>
      </c>
    </row>
    <row r="9">
      <c r="A9" s="10" t="inlineStr">
        <is>
          <t>Mauerwerk</t>
        </is>
      </c>
      <c r="B9" s="10" t="inlineStr">
        <is>
          <t>Kalksandstein 11,5 cm mauern</t>
        </is>
      </c>
      <c r="C9" s="10" t="inlineStr">
        <is>
          <t>m²</t>
        </is>
      </c>
      <c r="D9" s="16" t="n">
        <v>26</v>
      </c>
      <c r="E9" s="24" t="n">
        <v>0.65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Obergeschoss</t>
        </is>
      </c>
      <c r="I9" s="10" t="inlineStr">
        <is>
          <t>Sonstiges</t>
        </is>
      </c>
    </row>
    <row r="10">
      <c r="A10" s="10" t="inlineStr">
        <is>
          <t>Beton und Stahlbeton</t>
        </is>
      </c>
      <c r="B10" s="10" t="inlineStr">
        <is>
          <t>Stahlbetonwand schalen und betonieren</t>
        </is>
      </c>
      <c r="C10" s="10" t="inlineStr">
        <is>
          <t>m²</t>
        </is>
      </c>
      <c r="D10" s="16" t="n">
        <v>88</v>
      </c>
      <c r="E10" s="24" t="n">
        <v>1.6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Dachgeschoss</t>
        </is>
      </c>
      <c r="I10" s="10" t="n"/>
    </row>
    <row r="11">
      <c r="A11" s="10" t="inlineStr">
        <is>
          <t>Beton und Stahlbeton</t>
        </is>
      </c>
      <c r="B11" s="10" t="inlineStr">
        <is>
          <t>Stütze schalen und betonieren</t>
        </is>
      </c>
      <c r="C11" s="10" t="inlineStr">
        <is>
          <t>m</t>
        </is>
      </c>
      <c r="D11" s="16" t="n">
        <v>96</v>
      </c>
      <c r="E11" s="24" t="n">
        <v>2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Außenwand</t>
        </is>
      </c>
      <c r="I11" s="10" t="n"/>
    </row>
    <row r="12">
      <c r="A12" s="10" t="inlineStr">
        <is>
          <t>Beton und Stahlbeton</t>
        </is>
      </c>
      <c r="B12" s="10" t="inlineStr">
        <is>
          <t>Betonstahl BSt 500 einbauen</t>
        </is>
      </c>
      <c r="C12" s="10" t="inlineStr">
        <is>
          <t>kg</t>
        </is>
      </c>
      <c r="D12" s="16" t="n">
        <v>1.35</v>
      </c>
      <c r="E12" s="24" t="n">
        <v>0.02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Innenwand</t>
        </is>
      </c>
      <c r="I12" s="10" t="n"/>
    </row>
    <row r="13">
      <c r="A13" s="10" t="inlineStr">
        <is>
          <t>Decken</t>
        </is>
      </c>
      <c r="B13" s="10" t="inlineStr">
        <is>
          <t>Filigrandecke verlegen</t>
        </is>
      </c>
      <c r="C13" s="10" t="inlineStr">
        <is>
          <t>m²</t>
        </is>
      </c>
      <c r="D13" s="16" t="n">
        <v>68</v>
      </c>
      <c r="E13" s="24" t="n">
        <v>0.55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Kellerdecke</t>
        </is>
      </c>
      <c r="I13" s="10" t="n"/>
    </row>
    <row r="14">
      <c r="A14" s="10" t="inlineStr">
        <is>
          <t>Decken</t>
        </is>
      </c>
      <c r="B14" s="10" t="inlineStr">
        <is>
          <t>Ortbetondecke schalen und betonieren</t>
        </is>
      </c>
      <c r="C14" s="10" t="inlineStr">
        <is>
          <t>m²</t>
        </is>
      </c>
      <c r="D14" s="16" t="n">
        <v>82</v>
      </c>
      <c r="E14" s="24" t="n">
        <v>1.4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Geschossdecke</t>
        </is>
      </c>
      <c r="I14" s="10" t="n"/>
    </row>
    <row r="15">
      <c r="A15" s="10" t="inlineStr">
        <is>
          <t>Decken</t>
        </is>
      </c>
      <c r="B15" s="10" t="inlineStr">
        <is>
          <t>Deckenrandschalung einbauen</t>
        </is>
      </c>
      <c r="C15" s="10" t="inlineStr">
        <is>
          <t>m</t>
        </is>
      </c>
      <c r="D15" s="16" t="n">
        <v>12</v>
      </c>
      <c r="E15" s="24" t="n">
        <v>0.35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Garage</t>
        </is>
      </c>
      <c r="I15" s="10" t="n"/>
    </row>
    <row r="16">
      <c r="A16" s="10" t="inlineStr">
        <is>
          <t>Putz und Estrich</t>
        </is>
      </c>
      <c r="B16" s="10" t="inlineStr">
        <is>
          <t>Innenputz Gips maschinell</t>
        </is>
      </c>
      <c r="C16" s="10" t="inlineStr">
        <is>
          <t>m²</t>
        </is>
      </c>
      <c r="D16" s="16" t="n">
        <v>12</v>
      </c>
      <c r="E16" s="24" t="n">
        <v>0.25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Anbau</t>
        </is>
      </c>
      <c r="I16" s="10" t="n"/>
    </row>
    <row r="17">
      <c r="A17" s="10" t="inlineStr">
        <is>
          <t>Putz und Estrich</t>
        </is>
      </c>
      <c r="B17" s="10" t="inlineStr">
        <is>
          <t>Außenputz Kalkzement zweilagig</t>
        </is>
      </c>
      <c r="C17" s="10" t="inlineStr">
        <is>
          <t>m²</t>
        </is>
      </c>
      <c r="D17" s="16" t="n">
        <v>22</v>
      </c>
      <c r="E17" s="24" t="n">
        <v>0.55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Terrasse</t>
        </is>
      </c>
      <c r="I17" s="10" t="n"/>
    </row>
    <row r="18">
      <c r="A18" s="10" t="inlineStr">
        <is>
          <t>Putz und Estrich</t>
        </is>
      </c>
      <c r="B18" s="10" t="inlineStr">
        <is>
          <t>Zementestrich 60 mm einbauen</t>
        </is>
      </c>
      <c r="C18" s="10" t="inlineStr">
        <is>
          <t>m²</t>
        </is>
      </c>
      <c r="D18" s="16" t="n">
        <v>16</v>
      </c>
      <c r="E18" s="24" t="n">
        <v>0.25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Treppenhaus</t>
        </is>
      </c>
      <c r="I18" s="10" t="n"/>
    </row>
    <row r="19">
      <c r="A19" s="10" t="inlineStr">
        <is>
          <t>Sonstiges</t>
        </is>
      </c>
      <c r="B19" s="10" t="inlineStr">
        <is>
          <t>Baustelleneinrichtung</t>
        </is>
      </c>
      <c r="C19" s="10" t="inlineStr">
        <is>
          <t>psch</t>
        </is>
      </c>
      <c r="D19" s="16" t="n">
        <v>0</v>
      </c>
      <c r="E19" s="24" t="n">
        <v>6</v>
      </c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n"/>
      <c r="I19" s="10" t="n"/>
    </row>
    <row r="20">
      <c r="A20" s="10" t="inlineStr">
        <is>
          <t>Sonstiges</t>
        </is>
      </c>
      <c r="B20" s="10" t="inlineStr">
        <is>
          <t>Kran stellen und vorhalten</t>
        </is>
      </c>
      <c r="C20" s="10" t="inlineStr">
        <is>
          <t>Tag</t>
        </is>
      </c>
      <c r="D20" s="16" t="n">
        <v>480</v>
      </c>
      <c r="E20" s="24" t="n">
        <v>0.5</v>
      </c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n"/>
      <c r="I20" s="10" t="n"/>
    </row>
    <row r="21">
      <c r="A21" s="10" t="inlineStr">
        <is>
          <t>Sonstiges</t>
        </is>
      </c>
      <c r="B21" s="10" t="inlineStr">
        <is>
          <t>Gerüst stellen und vorhalten</t>
        </is>
      </c>
      <c r="C21" s="10" t="inlineStr">
        <is>
          <t>m²</t>
        </is>
      </c>
      <c r="D21" s="16" t="n">
        <v>9.5</v>
      </c>
      <c r="E21" s="24" t="n">
        <v>0.12</v>
      </c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n"/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n"/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n"/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n"/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Maurer- und Betonbauarbeiten (Testversion)</dc:title>
  <dc:subject xmlns:dc="http://purl.org/dc/elements/1.1/">Angebotskalkulation Maurer und Betonbauer</dc:subject>
  <dcterms:created xmlns:dcterms="http://purl.org/dc/terms/" xmlns:xsi="http://www.w3.org/2001/XMLSchema-instance" xsi:type="dcterms:W3CDTF">2026-10-07T13:09:12Z</dcterms:created>
  <dcterms:modified xmlns:dcterms="http://purl.org/dc/terms/" xmlns:xsi="http://www.w3.org/2001/XMLSchema-instance" xsi:type="dcterms:W3CDTF">2026-10-07T13:09:12Z</dcterms:modified>
  <cp:keywords>Maurer und Betonbauer Angebot Kalkulation Handwerk</cp:keywords>
</cp:coreProperties>
</file>